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90"/>
  </bookViews>
  <sheets>
    <sheet name="淮北市人民医院" sheetId="1" r:id="rId1"/>
    <sheet name="淮北市中医医院" sheetId="2" r:id="rId2"/>
    <sheet name="淮北市妇幼保健院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<sst xmlns="http://schemas.openxmlformats.org/spreadsheetml/2006/main" count="649" uniqueCount="162">
  <si>
    <t>序号</t>
  </si>
  <si>
    <t>报考岗位</t>
  </si>
  <si>
    <t>姓名</t>
  </si>
  <si>
    <t>准考证号</t>
  </si>
  <si>
    <t>成绩</t>
  </si>
  <si>
    <t>加分项</t>
  </si>
  <si>
    <t>最终成绩</t>
  </si>
  <si>
    <t>备注</t>
  </si>
  <si>
    <t>C0101_临床各科临床医生</t>
  </si>
  <si>
    <t>通过规培的考生笔试成绩加10分</t>
  </si>
  <si>
    <t>C0103_中医一病区临床医生</t>
  </si>
  <si>
    <t>C0104_口腔科临床医生</t>
  </si>
  <si>
    <t>C0105_麻醉科麻醉医生</t>
  </si>
  <si>
    <t>C0106_院感办院感医生</t>
  </si>
  <si>
    <t>C0107_医学影像科、功能检查科影像、超声诊断</t>
  </si>
  <si>
    <t>C0108_药学部药师</t>
  </si>
  <si>
    <t>C0109_医学检验科检验医师/技师</t>
  </si>
  <si>
    <t>C0110_护理部临床护理</t>
  </si>
  <si>
    <t>C0111_护理部临床护理</t>
  </si>
  <si>
    <t>A0101_肾脏内科临床医生</t>
  </si>
  <si>
    <t>张明珠</t>
  </si>
  <si>
    <t>A类考生直接进入资格复审</t>
  </si>
  <si>
    <t>李培培</t>
  </si>
  <si>
    <t>张丹</t>
  </si>
  <si>
    <t>A0102_血液内分泌科临床医生</t>
  </si>
  <si>
    <t>程思琪</t>
  </si>
  <si>
    <t>潘显阳</t>
  </si>
  <si>
    <t>郑鑫琪</t>
  </si>
  <si>
    <t>吴冰冰</t>
  </si>
  <si>
    <t>A0103_神经内科临床医生</t>
  </si>
  <si>
    <t>王川</t>
  </si>
  <si>
    <t>李士尊</t>
  </si>
  <si>
    <t>李瑞</t>
  </si>
  <si>
    <t>朱人定</t>
  </si>
  <si>
    <t>宋莉莉</t>
  </si>
  <si>
    <t>陈乐</t>
  </si>
  <si>
    <t>A0104_心血管内科临床医生</t>
  </si>
  <si>
    <t>时倩</t>
  </si>
  <si>
    <t>宋文玲</t>
  </si>
  <si>
    <t>代姗姗</t>
  </si>
  <si>
    <t>武悦</t>
  </si>
  <si>
    <t>楚勇</t>
  </si>
  <si>
    <t>A0105_肿瘤内科临床医生</t>
  </si>
  <si>
    <t>陈莹</t>
  </si>
  <si>
    <t>陈曼玉</t>
  </si>
  <si>
    <t>梁婉君</t>
  </si>
  <si>
    <t>邵茜茜</t>
  </si>
  <si>
    <t>张吉瑞</t>
  </si>
  <si>
    <t>王彤</t>
  </si>
  <si>
    <t>何晓芳</t>
  </si>
  <si>
    <t>A0106_呼吸内科临床医生</t>
  </si>
  <si>
    <t>尤贝贝</t>
  </si>
  <si>
    <t>王玲</t>
  </si>
  <si>
    <t>李镇江</t>
  </si>
  <si>
    <t>李梦雨</t>
  </si>
  <si>
    <t>李雪峰</t>
  </si>
  <si>
    <t>闫静</t>
  </si>
  <si>
    <t>A0107_中医二病区临床医生</t>
  </si>
  <si>
    <t>孙兰婷</t>
  </si>
  <si>
    <t>李肖晴</t>
  </si>
  <si>
    <t>濮绘绘</t>
  </si>
  <si>
    <t>A0108_泌尿外科临床医生</t>
  </si>
  <si>
    <t>周忠涵</t>
  </si>
  <si>
    <t>彭睿</t>
  </si>
  <si>
    <t>蒋智</t>
  </si>
  <si>
    <t>彭龙飞</t>
  </si>
  <si>
    <t>蔡东洋</t>
  </si>
  <si>
    <t>沈翔</t>
  </si>
  <si>
    <t>李海洋</t>
  </si>
  <si>
    <t>宋帅帅</t>
  </si>
  <si>
    <t>王严</t>
  </si>
  <si>
    <t>A0109_外科临床医生</t>
  </si>
  <si>
    <t>郭鹏</t>
  </si>
  <si>
    <t>夏强强</t>
  </si>
  <si>
    <t>王自豪</t>
  </si>
  <si>
    <t>王强</t>
  </si>
  <si>
    <t>施华清</t>
  </si>
  <si>
    <t>周宗林</t>
  </si>
  <si>
    <t>张冬冬</t>
  </si>
  <si>
    <t>石磊</t>
  </si>
  <si>
    <t>张文卓</t>
  </si>
  <si>
    <t>王兆映</t>
  </si>
  <si>
    <t>王欢欢</t>
  </si>
  <si>
    <t>宋小锐</t>
  </si>
  <si>
    <t>陈敬宇</t>
  </si>
  <si>
    <t>和君建</t>
  </si>
  <si>
    <t>曹意</t>
  </si>
  <si>
    <t>代聪聪</t>
  </si>
  <si>
    <t>A0110_重症医学科临床医生</t>
  </si>
  <si>
    <t>侯克龙</t>
  </si>
  <si>
    <t>许晓函</t>
  </si>
  <si>
    <t>A0111_骨科临床医生</t>
  </si>
  <si>
    <t>朱先任</t>
  </si>
  <si>
    <t>邹云辉</t>
  </si>
  <si>
    <t>吴信举</t>
  </si>
  <si>
    <t>刘长枫</t>
  </si>
  <si>
    <t>潘保顺</t>
  </si>
  <si>
    <t>祝蒙见</t>
  </si>
  <si>
    <t>张霄瀚</t>
  </si>
  <si>
    <t>张小飞</t>
  </si>
  <si>
    <t>孙健</t>
  </si>
  <si>
    <t>刘猛</t>
  </si>
  <si>
    <t>沈先月</t>
  </si>
  <si>
    <t>A0112_医学影像科、功能检查科影像医生</t>
  </si>
  <si>
    <t>周夜夜</t>
  </si>
  <si>
    <t>王子铭</t>
  </si>
  <si>
    <t>赵煜</t>
  </si>
  <si>
    <t>王云</t>
  </si>
  <si>
    <t>A0113_病理科病理医生</t>
  </si>
  <si>
    <t>B0101_急救中心临床医生</t>
  </si>
  <si>
    <t>戚磊</t>
  </si>
  <si>
    <t>B类考生直接进入资格复审</t>
  </si>
  <si>
    <t>徐亮</t>
  </si>
  <si>
    <t>张盼</t>
  </si>
  <si>
    <t>王朋诗</t>
  </si>
  <si>
    <t>邱元英</t>
  </si>
  <si>
    <t>马立作</t>
  </si>
  <si>
    <t>B0102_功能检查科超声诊断</t>
  </si>
  <si>
    <t>许崇强</t>
  </si>
  <si>
    <t>陈亚男</t>
  </si>
  <si>
    <t>许云燕</t>
  </si>
  <si>
    <t>忽德运</t>
  </si>
  <si>
    <t>C0301_针灸推拿学</t>
  </si>
  <si>
    <t>C0302_康复治疗学</t>
  </si>
  <si>
    <t>C0303_医学影像学</t>
  </si>
  <si>
    <t>C0304_口腔医学</t>
  </si>
  <si>
    <t>C0305_医学影像技术</t>
  </si>
  <si>
    <t>C0307_护理学</t>
  </si>
  <si>
    <t>C0308_护理学</t>
  </si>
  <si>
    <t>C0309_临床医学</t>
  </si>
  <si>
    <t>C0311_中医学</t>
  </si>
  <si>
    <t>C0312_中西医临床医学</t>
  </si>
  <si>
    <t>C0313_会计学</t>
  </si>
  <si>
    <t>C0314_公共事业管理</t>
  </si>
  <si>
    <t>A0301_中医学</t>
  </si>
  <si>
    <t>A0302_中西医临床医学</t>
  </si>
  <si>
    <t>A0304_针灸推拿学</t>
  </si>
  <si>
    <t>A0306_中医学（男科方向）</t>
  </si>
  <si>
    <t>A0307_中医妇科学</t>
  </si>
  <si>
    <t>B0301_护理学</t>
  </si>
  <si>
    <t>C0203_医学装备部</t>
  </si>
  <si>
    <t>C0205_眼、耳鼻喉</t>
  </si>
  <si>
    <t>C0209_麻醉科、ICU</t>
  </si>
  <si>
    <t>C0210_口腔科</t>
  </si>
  <si>
    <t>C0211_计算机中心</t>
  </si>
  <si>
    <t>C0213_放射科(医学影像学或临床医学)</t>
  </si>
  <si>
    <t>C0214_放射科(医学影像技术)</t>
  </si>
  <si>
    <t>C0216_中医科</t>
  </si>
  <si>
    <t>C0217_儿保科(康复治疗学)</t>
  </si>
  <si>
    <t>C0219_超  声</t>
  </si>
  <si>
    <t>C0220_产科</t>
  </si>
  <si>
    <t>C0223_人事科</t>
  </si>
  <si>
    <t>C0225_120急救</t>
  </si>
  <si>
    <t>A0201_临床科室</t>
  </si>
  <si>
    <t>姚梦楠</t>
  </si>
  <si>
    <t>齐心愿</t>
  </si>
  <si>
    <t>杨帆</t>
  </si>
  <si>
    <t>豆可</t>
  </si>
  <si>
    <t>钟圆圆</t>
  </si>
  <si>
    <t>随影</t>
  </si>
  <si>
    <t>B0201_120急救</t>
  </si>
  <si>
    <t>B0202_眼科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</si>
</sst>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2" fillId="33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esktop\&#30830;&#23450;-&#21453;&#39304;&#21508;&#21307;&#38498;\&#31508;&#35797;&#25104;&#32489;&#25490;&#24207;&#2151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"/>
    </sheetNames>
    <sheetDataSet>
      <sheetData sheetId="0" refreshError="1">
        <row r="10">
          <cell r="AC10" t="str">
            <v>2020020925</v>
          </cell>
        </row>
        <row r="10">
          <cell r="AN10" t="str">
            <v>通过规培的考生笔试加10分</v>
          </cell>
        </row>
        <row r="11">
          <cell r="AC11" t="str">
            <v>2020020509</v>
          </cell>
        </row>
        <row r="12">
          <cell r="AC12" t="str">
            <v>2020020607</v>
          </cell>
        </row>
        <row r="13">
          <cell r="AC13" t="str">
            <v>2020020622</v>
          </cell>
        </row>
        <row r="14">
          <cell r="AC14" t="str">
            <v>2020020811</v>
          </cell>
        </row>
        <row r="15">
          <cell r="AC15" t="str">
            <v>2020020618</v>
          </cell>
        </row>
        <row r="16">
          <cell r="AC16" t="str">
            <v>2020020722</v>
          </cell>
        </row>
        <row r="17">
          <cell r="AC17" t="str">
            <v>2020020817</v>
          </cell>
        </row>
        <row r="18">
          <cell r="AC18" t="str">
            <v>2020020512</v>
          </cell>
        </row>
        <row r="19">
          <cell r="AC19" t="str">
            <v>2020020625</v>
          </cell>
        </row>
        <row r="20">
          <cell r="AC20" t="str">
            <v>2020020802</v>
          </cell>
        </row>
        <row r="21">
          <cell r="AC21" t="str">
            <v>2020020804</v>
          </cell>
        </row>
        <row r="22">
          <cell r="AC22" t="str">
            <v>2020020513</v>
          </cell>
        </row>
        <row r="23">
          <cell r="AC23" t="str">
            <v>2020020520</v>
          </cell>
        </row>
        <row r="24">
          <cell r="AC24" t="str">
            <v>2020020518</v>
          </cell>
        </row>
        <row r="25">
          <cell r="AC25" t="str">
            <v>2020020825</v>
          </cell>
        </row>
        <row r="26">
          <cell r="AC26" t="str">
            <v>2020020814</v>
          </cell>
        </row>
        <row r="27">
          <cell r="AC27" t="str">
            <v>2020020628</v>
          </cell>
        </row>
        <row r="28">
          <cell r="AC28" t="str">
            <v>2020020812</v>
          </cell>
        </row>
        <row r="28">
          <cell r="AN28" t="str">
            <v>通过规培的考生笔试加10分</v>
          </cell>
        </row>
        <row r="29">
          <cell r="AC29" t="str">
            <v>2020020927</v>
          </cell>
        </row>
        <row r="30">
          <cell r="AC30" t="str">
            <v>2020020923</v>
          </cell>
        </row>
        <row r="31">
          <cell r="AC31" t="str">
            <v>2020020519</v>
          </cell>
        </row>
        <row r="32">
          <cell r="AC32" t="str">
            <v>2020020605</v>
          </cell>
        </row>
        <row r="33">
          <cell r="AC33" t="str">
            <v>2020020503</v>
          </cell>
        </row>
        <row r="34">
          <cell r="AC34" t="str">
            <v>2020020823</v>
          </cell>
        </row>
        <row r="35">
          <cell r="AC35" t="str">
            <v>2020022805</v>
          </cell>
        </row>
        <row r="36">
          <cell r="AC36" t="str">
            <v>2020020614</v>
          </cell>
        </row>
        <row r="37">
          <cell r="AC37" t="str">
            <v>2020020908</v>
          </cell>
        </row>
        <row r="38">
          <cell r="AC38" t="str">
            <v>2020020903</v>
          </cell>
        </row>
        <row r="39">
          <cell r="AC39" t="str">
            <v>2020020709</v>
          </cell>
        </row>
        <row r="40">
          <cell r="AC40" t="str">
            <v>2020020816</v>
          </cell>
        </row>
        <row r="41">
          <cell r="AC41" t="str">
            <v>2020020623</v>
          </cell>
        </row>
        <row r="42">
          <cell r="AC42" t="str">
            <v>2020020504</v>
          </cell>
        </row>
        <row r="43">
          <cell r="AC43" t="str">
            <v>2020020917</v>
          </cell>
        </row>
        <row r="44">
          <cell r="AC44" t="str">
            <v>2020020529</v>
          </cell>
        </row>
        <row r="45">
          <cell r="AC45" t="str">
            <v>2020020819</v>
          </cell>
        </row>
        <row r="46">
          <cell r="AC46" t="str">
            <v>2020020725</v>
          </cell>
        </row>
        <row r="47">
          <cell r="AC47" t="str">
            <v>2020020918</v>
          </cell>
        </row>
        <row r="48">
          <cell r="AC48" t="str">
            <v>2020020627</v>
          </cell>
        </row>
        <row r="49">
          <cell r="AC49" t="str">
            <v>2020020914</v>
          </cell>
        </row>
        <row r="50">
          <cell r="AC50" t="str">
            <v>2020020711</v>
          </cell>
        </row>
        <row r="51">
          <cell r="AC51" t="str">
            <v>2020020828</v>
          </cell>
        </row>
        <row r="52">
          <cell r="AC52" t="str">
            <v>2020020501</v>
          </cell>
        </row>
        <row r="53">
          <cell r="AC53" t="str">
            <v>2020020502</v>
          </cell>
        </row>
        <row r="54">
          <cell r="AC54" t="str">
            <v>2020020505</v>
          </cell>
        </row>
        <row r="55">
          <cell r="AC55" t="str">
            <v>2020020506</v>
          </cell>
        </row>
        <row r="56">
          <cell r="AC56" t="str">
            <v>2020020507</v>
          </cell>
        </row>
        <row r="57">
          <cell r="AC57" t="str">
            <v>2020020508</v>
          </cell>
        </row>
        <row r="58">
          <cell r="AC58" t="str">
            <v>2020020510</v>
          </cell>
        </row>
        <row r="59">
          <cell r="AC59" t="str">
            <v>2020020511</v>
          </cell>
        </row>
        <row r="60">
          <cell r="AC60" t="str">
            <v>2020020514</v>
          </cell>
        </row>
        <row r="61">
          <cell r="AC61" t="str">
            <v>2020020515</v>
          </cell>
        </row>
        <row r="62">
          <cell r="AC62" t="str">
            <v>2020020516</v>
          </cell>
        </row>
        <row r="63">
          <cell r="AC63" t="str">
            <v>2020020517</v>
          </cell>
        </row>
        <row r="64">
          <cell r="AC64" t="str">
            <v>2020020521</v>
          </cell>
        </row>
        <row r="65">
          <cell r="AC65" t="str">
            <v>2020020522</v>
          </cell>
        </row>
        <row r="66">
          <cell r="AC66" t="str">
            <v>2020020523</v>
          </cell>
        </row>
        <row r="67">
          <cell r="AC67" t="str">
            <v>2020020524</v>
          </cell>
        </row>
        <row r="68">
          <cell r="AC68" t="str">
            <v>2020020525</v>
          </cell>
        </row>
        <row r="69">
          <cell r="AC69" t="str">
            <v>2020020526</v>
          </cell>
        </row>
        <row r="70">
          <cell r="AC70" t="str">
            <v>2020020527</v>
          </cell>
        </row>
        <row r="71">
          <cell r="AC71" t="str">
            <v>2020020528</v>
          </cell>
        </row>
        <row r="72">
          <cell r="AC72" t="str">
            <v>2020020530</v>
          </cell>
        </row>
        <row r="73">
          <cell r="AC73" t="str">
            <v>2020020601</v>
          </cell>
        </row>
        <row r="74">
          <cell r="AC74" t="str">
            <v>2020020602</v>
          </cell>
        </row>
        <row r="75">
          <cell r="AC75" t="str">
            <v>2020020604</v>
          </cell>
        </row>
        <row r="76">
          <cell r="AC76" t="str">
            <v>2020020606</v>
          </cell>
        </row>
        <row r="77">
          <cell r="AC77" t="str">
            <v>2020020608</v>
          </cell>
        </row>
        <row r="78">
          <cell r="AC78" t="str">
            <v>2020020609</v>
          </cell>
        </row>
        <row r="79">
          <cell r="AC79" t="str">
            <v>2020020610</v>
          </cell>
        </row>
        <row r="80">
          <cell r="AC80" t="str">
            <v>2020020611</v>
          </cell>
        </row>
        <row r="81">
          <cell r="AC81" t="str">
            <v>2020020612</v>
          </cell>
        </row>
        <row r="82">
          <cell r="AC82" t="str">
            <v>2020020613</v>
          </cell>
        </row>
        <row r="83">
          <cell r="AC83" t="str">
            <v>2020020615</v>
          </cell>
        </row>
        <row r="84">
          <cell r="AC84" t="str">
            <v>2020020616</v>
          </cell>
        </row>
        <row r="85">
          <cell r="AC85" t="str">
            <v>2020020617</v>
          </cell>
        </row>
        <row r="86">
          <cell r="AC86" t="str">
            <v>2020020619</v>
          </cell>
        </row>
        <row r="87">
          <cell r="AC87" t="str">
            <v>2020020620</v>
          </cell>
        </row>
        <row r="88">
          <cell r="AC88" t="str">
            <v>2020020621</v>
          </cell>
        </row>
        <row r="89">
          <cell r="AC89" t="str">
            <v>2020020624</v>
          </cell>
        </row>
        <row r="90">
          <cell r="AC90" t="str">
            <v>2020020626</v>
          </cell>
        </row>
        <row r="91">
          <cell r="AC91" t="str">
            <v>2020020629</v>
          </cell>
        </row>
        <row r="92">
          <cell r="AC92" t="str">
            <v>2020020630</v>
          </cell>
        </row>
        <row r="93">
          <cell r="AC93" t="str">
            <v>2020020701</v>
          </cell>
        </row>
        <row r="94">
          <cell r="AC94" t="str">
            <v>2020020702</v>
          </cell>
        </row>
        <row r="95">
          <cell r="AC95" t="str">
            <v>2020020704</v>
          </cell>
        </row>
        <row r="96">
          <cell r="AC96" t="str">
            <v>2020020705</v>
          </cell>
        </row>
        <row r="97">
          <cell r="AC97" t="str">
            <v>2020020706</v>
          </cell>
        </row>
        <row r="98">
          <cell r="AC98" t="str">
            <v>2020020707</v>
          </cell>
        </row>
        <row r="99">
          <cell r="AC99" t="str">
            <v>2020020708</v>
          </cell>
        </row>
        <row r="100">
          <cell r="AC100" t="str">
            <v>2020020710</v>
          </cell>
        </row>
        <row r="101">
          <cell r="AC101" t="str">
            <v>2020020713</v>
          </cell>
        </row>
        <row r="102">
          <cell r="AC102" t="str">
            <v>2020020714</v>
          </cell>
        </row>
        <row r="103">
          <cell r="AC103" t="str">
            <v>2020020715</v>
          </cell>
        </row>
        <row r="104">
          <cell r="AC104" t="str">
            <v>2020020716</v>
          </cell>
        </row>
        <row r="105">
          <cell r="AC105" t="str">
            <v>2020020717</v>
          </cell>
        </row>
        <row r="106">
          <cell r="AC106" t="str">
            <v>2020020719</v>
          </cell>
        </row>
        <row r="107">
          <cell r="AC107" t="str">
            <v>2020020720</v>
          </cell>
        </row>
        <row r="108">
          <cell r="AC108" t="str">
            <v>2020020721</v>
          </cell>
        </row>
        <row r="109">
          <cell r="AC109" t="str">
            <v>2020020723</v>
          </cell>
        </row>
        <row r="110">
          <cell r="AC110" t="str">
            <v>2020020724</v>
          </cell>
        </row>
        <row r="111">
          <cell r="AC111" t="str">
            <v>2020020726</v>
          </cell>
        </row>
        <row r="112">
          <cell r="AC112" t="str">
            <v>2020020727</v>
          </cell>
        </row>
        <row r="113">
          <cell r="AC113" t="str">
            <v>2020020728</v>
          </cell>
        </row>
        <row r="114">
          <cell r="AC114" t="str">
            <v>2020020729</v>
          </cell>
        </row>
        <row r="115">
          <cell r="AC115" t="str">
            <v>2020020730</v>
          </cell>
        </row>
        <row r="116">
          <cell r="AC116" t="str">
            <v>2020020803</v>
          </cell>
        </row>
        <row r="117">
          <cell r="AC117" t="str">
            <v>2020020805</v>
          </cell>
        </row>
        <row r="118">
          <cell r="AC118" t="str">
            <v>2020020806</v>
          </cell>
        </row>
        <row r="119">
          <cell r="AC119" t="str">
            <v>2020020808</v>
          </cell>
        </row>
        <row r="120">
          <cell r="AC120" t="str">
            <v>2020020809</v>
          </cell>
        </row>
        <row r="121">
          <cell r="AC121" t="str">
            <v>2020020810</v>
          </cell>
        </row>
        <row r="122">
          <cell r="AC122" t="str">
            <v>2020020813</v>
          </cell>
        </row>
        <row r="123">
          <cell r="AC123" t="str">
            <v>2020020815</v>
          </cell>
        </row>
        <row r="124">
          <cell r="AC124" t="str">
            <v>2020020818</v>
          </cell>
        </row>
        <row r="125">
          <cell r="AC125" t="str">
            <v>2020020820</v>
          </cell>
        </row>
        <row r="126">
          <cell r="AC126" t="str">
            <v>2020020821</v>
          </cell>
        </row>
        <row r="127">
          <cell r="AC127" t="str">
            <v>2020020822</v>
          </cell>
        </row>
        <row r="128">
          <cell r="AC128" t="str">
            <v>2020020824</v>
          </cell>
        </row>
        <row r="129">
          <cell r="AC129" t="str">
            <v>2020020826</v>
          </cell>
        </row>
        <row r="130">
          <cell r="AC130" t="str">
            <v>2020020827</v>
          </cell>
        </row>
        <row r="131">
          <cell r="AC131" t="str">
            <v>2020020829</v>
          </cell>
        </row>
        <row r="132">
          <cell r="AC132" t="str">
            <v>2020020830</v>
          </cell>
        </row>
        <row r="133">
          <cell r="AC133" t="str">
            <v>2020020901</v>
          </cell>
        </row>
        <row r="134">
          <cell r="AC134" t="str">
            <v>2020020902</v>
          </cell>
        </row>
        <row r="135">
          <cell r="AC135" t="str">
            <v>2020020904</v>
          </cell>
        </row>
        <row r="136">
          <cell r="AC136" t="str">
            <v>2020020905</v>
          </cell>
        </row>
        <row r="137">
          <cell r="AC137" t="str">
            <v>2020020906</v>
          </cell>
        </row>
        <row r="138">
          <cell r="AC138" t="str">
            <v>2020020907</v>
          </cell>
        </row>
        <row r="139">
          <cell r="AC139" t="str">
            <v>2020020909</v>
          </cell>
        </row>
        <row r="140">
          <cell r="AC140" t="str">
            <v>2020020910</v>
          </cell>
        </row>
        <row r="141">
          <cell r="AC141" t="str">
            <v>2020020911</v>
          </cell>
        </row>
        <row r="142">
          <cell r="AC142" t="str">
            <v>2020020912</v>
          </cell>
        </row>
        <row r="143">
          <cell r="AC143" t="str">
            <v>2020020915</v>
          </cell>
        </row>
        <row r="144">
          <cell r="AC144" t="str">
            <v>2020020919</v>
          </cell>
        </row>
        <row r="145">
          <cell r="AC145" t="str">
            <v>2020020920</v>
          </cell>
        </row>
        <row r="146">
          <cell r="AC146" t="str">
            <v>2020020921</v>
          </cell>
        </row>
        <row r="147">
          <cell r="AC147" t="str">
            <v>2020020922</v>
          </cell>
        </row>
        <row r="148">
          <cell r="AC148" t="str">
            <v>2020020924</v>
          </cell>
        </row>
        <row r="149">
          <cell r="AC149" t="str">
            <v>2020020926</v>
          </cell>
        </row>
        <row r="150">
          <cell r="AC150" t="str">
            <v>2020020928</v>
          </cell>
        </row>
        <row r="151">
          <cell r="AC151" t="str">
            <v>2020020929</v>
          </cell>
        </row>
        <row r="152">
          <cell r="AC152" t="str">
            <v>2020020930</v>
          </cell>
        </row>
        <row r="153">
          <cell r="AC153" t="str">
            <v>2020022801</v>
          </cell>
        </row>
        <row r="154">
          <cell r="AC154" t="str">
            <v>2020022802</v>
          </cell>
        </row>
        <row r="155">
          <cell r="AC155" t="str">
            <v>2020022803</v>
          </cell>
        </row>
        <row r="156">
          <cell r="AC156" t="str">
            <v>2020022804</v>
          </cell>
        </row>
        <row r="157">
          <cell r="AC157" t="str">
            <v>2020022806</v>
          </cell>
        </row>
        <row r="158">
          <cell r="AC158" t="str">
            <v>2020022807</v>
          </cell>
        </row>
        <row r="159">
          <cell r="AC159" t="str">
            <v>2020022005</v>
          </cell>
        </row>
        <row r="160">
          <cell r="AC160" t="str">
            <v>2020022001</v>
          </cell>
        </row>
        <row r="161">
          <cell r="AC161" t="str">
            <v>2020022002</v>
          </cell>
        </row>
        <row r="162">
          <cell r="AC162" t="str">
            <v>2020022003</v>
          </cell>
        </row>
        <row r="163">
          <cell r="AC163" t="str">
            <v>2020022004</v>
          </cell>
        </row>
        <row r="164">
          <cell r="AC164" t="str">
            <v>2020020101</v>
          </cell>
        </row>
        <row r="165">
          <cell r="AC165" t="str">
            <v>2020020104</v>
          </cell>
        </row>
        <row r="166">
          <cell r="AC166" t="str">
            <v>2020020102</v>
          </cell>
        </row>
        <row r="167">
          <cell r="AC167" t="str">
            <v>2020020103</v>
          </cell>
        </row>
        <row r="168">
          <cell r="AC168" t="str">
            <v>2020020105</v>
          </cell>
        </row>
        <row r="169">
          <cell r="AC169" t="str">
            <v>2020020106</v>
          </cell>
        </row>
        <row r="170">
          <cell r="AC170" t="str">
            <v>2020020107</v>
          </cell>
        </row>
        <row r="171">
          <cell r="AC171" t="str">
            <v>2020020108</v>
          </cell>
        </row>
        <row r="172">
          <cell r="AC172" t="str">
            <v>2020020109</v>
          </cell>
        </row>
        <row r="173">
          <cell r="AC173" t="str">
            <v>2020020110</v>
          </cell>
        </row>
        <row r="174">
          <cell r="AC174" t="str">
            <v>2020020111</v>
          </cell>
        </row>
        <row r="175">
          <cell r="AC175" t="str">
            <v>2020020112</v>
          </cell>
        </row>
        <row r="176">
          <cell r="AC176" t="str">
            <v>2020020412</v>
          </cell>
        </row>
        <row r="177">
          <cell r="AC177" t="str">
            <v>2020020402</v>
          </cell>
        </row>
        <row r="178">
          <cell r="AC178" t="str">
            <v>2020020405</v>
          </cell>
        </row>
        <row r="179">
          <cell r="AC179" t="str">
            <v>2020020407</v>
          </cell>
        </row>
        <row r="180">
          <cell r="AC180" t="str">
            <v>2020020408</v>
          </cell>
        </row>
        <row r="181">
          <cell r="AC181" t="str">
            <v>2020020416</v>
          </cell>
        </row>
        <row r="182">
          <cell r="AC182" t="str">
            <v>2020020415</v>
          </cell>
        </row>
        <row r="183">
          <cell r="AC183" t="str">
            <v>2020020409</v>
          </cell>
        </row>
        <row r="184">
          <cell r="AC184" t="str">
            <v>2020020330</v>
          </cell>
        </row>
        <row r="185">
          <cell r="AC185" t="str">
            <v>2020020401</v>
          </cell>
        </row>
        <row r="186">
          <cell r="AC186" t="str">
            <v>2020020403</v>
          </cell>
        </row>
        <row r="187">
          <cell r="AC187" t="str">
            <v>2020020404</v>
          </cell>
        </row>
        <row r="188">
          <cell r="AC188" t="str">
            <v>2020020406</v>
          </cell>
        </row>
        <row r="189">
          <cell r="AC189" t="str">
            <v>2020020410</v>
          </cell>
        </row>
        <row r="190">
          <cell r="AC190" t="str">
            <v>2020020411</v>
          </cell>
        </row>
        <row r="191">
          <cell r="AC191" t="str">
            <v>2020020413</v>
          </cell>
        </row>
        <row r="192">
          <cell r="AC192" t="str">
            <v>2020020414</v>
          </cell>
        </row>
        <row r="193">
          <cell r="AC193" t="str">
            <v>2020020417</v>
          </cell>
        </row>
        <row r="194">
          <cell r="AC194" t="str">
            <v>2020020418</v>
          </cell>
        </row>
        <row r="195">
          <cell r="AC195" t="str">
            <v>2020020419</v>
          </cell>
        </row>
        <row r="196">
          <cell r="AC196" t="str">
            <v>2020020420</v>
          </cell>
        </row>
        <row r="197">
          <cell r="AC197" t="str">
            <v>2020020421</v>
          </cell>
        </row>
        <row r="198">
          <cell r="AC198" t="str">
            <v>2020023206</v>
          </cell>
        </row>
        <row r="199">
          <cell r="AC199" t="str">
            <v>2020022703</v>
          </cell>
        </row>
        <row r="200">
          <cell r="AC200" t="str">
            <v>2020022730</v>
          </cell>
        </row>
        <row r="201">
          <cell r="AC201" t="str">
            <v>2020023202</v>
          </cell>
        </row>
        <row r="202">
          <cell r="AC202" t="str">
            <v>2020022721</v>
          </cell>
        </row>
        <row r="203">
          <cell r="AC203" t="str">
            <v>2020022602</v>
          </cell>
        </row>
        <row r="204">
          <cell r="AC204" t="str">
            <v>2020022622</v>
          </cell>
        </row>
        <row r="205">
          <cell r="AC205" t="str">
            <v>2020022707</v>
          </cell>
        </row>
        <row r="206">
          <cell r="AC206" t="str">
            <v>2020022727</v>
          </cell>
        </row>
        <row r="207">
          <cell r="AC207" t="str">
            <v>2020022608</v>
          </cell>
        </row>
        <row r="208">
          <cell r="AC208" t="str">
            <v>2020022618</v>
          </cell>
        </row>
        <row r="209">
          <cell r="AC209" t="str">
            <v>2020022610</v>
          </cell>
        </row>
        <row r="210">
          <cell r="AC210" t="str">
            <v>2020022623</v>
          </cell>
        </row>
        <row r="211">
          <cell r="AC211" t="str">
            <v>2020022725</v>
          </cell>
        </row>
        <row r="212">
          <cell r="AC212" t="str">
            <v>2020022717</v>
          </cell>
        </row>
        <row r="213">
          <cell r="AC213" t="str">
            <v>2020022706</v>
          </cell>
        </row>
        <row r="214">
          <cell r="AC214" t="str">
            <v>2020022715</v>
          </cell>
        </row>
        <row r="215">
          <cell r="AC215" t="str">
            <v>2020022612</v>
          </cell>
        </row>
        <row r="216">
          <cell r="AC216" t="str">
            <v>2020022711</v>
          </cell>
        </row>
        <row r="217">
          <cell r="AC217" t="str">
            <v>2020022720</v>
          </cell>
        </row>
        <row r="218">
          <cell r="AC218" t="str">
            <v>2020022726</v>
          </cell>
        </row>
        <row r="219">
          <cell r="AC219" t="str">
            <v>2020022729</v>
          </cell>
        </row>
        <row r="220">
          <cell r="AC220" t="str">
            <v>2020022716</v>
          </cell>
        </row>
        <row r="221">
          <cell r="AC221" t="str">
            <v>2020022617</v>
          </cell>
        </row>
        <row r="222">
          <cell r="AC222" t="str">
            <v>2020022629</v>
          </cell>
        </row>
        <row r="223">
          <cell r="AC223" t="str">
            <v>2020022724</v>
          </cell>
        </row>
        <row r="224">
          <cell r="AC224" t="str">
            <v>2020022601</v>
          </cell>
        </row>
        <row r="225">
          <cell r="AC225" t="str">
            <v>2020022714</v>
          </cell>
        </row>
        <row r="226">
          <cell r="AC226" t="str">
            <v>2020022605</v>
          </cell>
        </row>
        <row r="227">
          <cell r="AC227" t="str">
            <v>2020022704</v>
          </cell>
        </row>
        <row r="228">
          <cell r="AC228" t="str">
            <v>2020022603</v>
          </cell>
        </row>
        <row r="229">
          <cell r="AC229" t="str">
            <v>2020022604</v>
          </cell>
        </row>
        <row r="230">
          <cell r="AC230" t="str">
            <v>2020022606</v>
          </cell>
        </row>
        <row r="231">
          <cell r="AC231" t="str">
            <v>2020022607</v>
          </cell>
        </row>
        <row r="232">
          <cell r="AC232" t="str">
            <v>2020022609</v>
          </cell>
        </row>
        <row r="233">
          <cell r="AC233" t="str">
            <v>2020022611</v>
          </cell>
        </row>
        <row r="234">
          <cell r="AC234" t="str">
            <v>2020022613</v>
          </cell>
        </row>
        <row r="235">
          <cell r="AC235" t="str">
            <v>2020022614</v>
          </cell>
        </row>
        <row r="236">
          <cell r="AC236" t="str">
            <v>2020022615</v>
          </cell>
        </row>
        <row r="237">
          <cell r="AC237" t="str">
            <v>2020022616</v>
          </cell>
        </row>
        <row r="238">
          <cell r="AC238" t="str">
            <v>2020022619</v>
          </cell>
        </row>
        <row r="239">
          <cell r="AC239" t="str">
            <v>2020022620</v>
          </cell>
        </row>
        <row r="240">
          <cell r="AC240" t="str">
            <v>2020022621</v>
          </cell>
        </row>
        <row r="241">
          <cell r="AC241" t="str">
            <v>2020022624</v>
          </cell>
        </row>
        <row r="242">
          <cell r="AC242" t="str">
            <v>2020022625</v>
          </cell>
        </row>
        <row r="243">
          <cell r="AC243" t="str">
            <v>2020022626</v>
          </cell>
        </row>
        <row r="244">
          <cell r="AC244" t="str">
            <v>2020022627</v>
          </cell>
        </row>
        <row r="245">
          <cell r="AC245" t="str">
            <v>2020022628</v>
          </cell>
        </row>
        <row r="246">
          <cell r="AC246" t="str">
            <v>2020022630</v>
          </cell>
        </row>
        <row r="247">
          <cell r="AC247" t="str">
            <v>2020022701</v>
          </cell>
        </row>
        <row r="248">
          <cell r="AC248" t="str">
            <v>2020022702</v>
          </cell>
        </row>
        <row r="249">
          <cell r="AC249" t="str">
            <v>2020022705</v>
          </cell>
        </row>
        <row r="250">
          <cell r="AC250" t="str">
            <v>2020022708</v>
          </cell>
        </row>
        <row r="251">
          <cell r="AC251" t="str">
            <v>2020022709</v>
          </cell>
        </row>
        <row r="252">
          <cell r="AC252" t="str">
            <v>2020022710</v>
          </cell>
        </row>
        <row r="253">
          <cell r="AC253" t="str">
            <v>2020022712</v>
          </cell>
        </row>
        <row r="254">
          <cell r="AC254" t="str">
            <v>2020022713</v>
          </cell>
        </row>
        <row r="255">
          <cell r="AC255" t="str">
            <v>2020022718</v>
          </cell>
        </row>
        <row r="256">
          <cell r="AC256" t="str">
            <v>2020022719</v>
          </cell>
        </row>
        <row r="257">
          <cell r="AC257" t="str">
            <v>2020022722</v>
          </cell>
        </row>
        <row r="258">
          <cell r="AC258" t="str">
            <v>2020022723</v>
          </cell>
        </row>
        <row r="259">
          <cell r="AC259" t="str">
            <v>2020022728</v>
          </cell>
        </row>
        <row r="260">
          <cell r="AC260" t="str">
            <v>2020023201</v>
          </cell>
        </row>
        <row r="261">
          <cell r="AC261" t="str">
            <v>2020023203</v>
          </cell>
        </row>
        <row r="262">
          <cell r="AC262" t="str">
            <v>2020023204</v>
          </cell>
        </row>
        <row r="263">
          <cell r="AC263" t="str">
            <v>2020023205</v>
          </cell>
        </row>
        <row r="264">
          <cell r="AC264" t="str">
            <v>2020023207</v>
          </cell>
        </row>
        <row r="265">
          <cell r="AC265" t="str">
            <v>2020023208</v>
          </cell>
        </row>
        <row r="266">
          <cell r="AC266" t="str">
            <v>2020021115</v>
          </cell>
        </row>
        <row r="267">
          <cell r="AC267" t="str">
            <v>2020021129</v>
          </cell>
        </row>
        <row r="268">
          <cell r="AC268" t="str">
            <v>2020021902</v>
          </cell>
        </row>
        <row r="269">
          <cell r="AC269" t="str">
            <v>2020021102</v>
          </cell>
        </row>
        <row r="270">
          <cell r="AC270" t="str">
            <v>2020021108</v>
          </cell>
        </row>
        <row r="271">
          <cell r="AC271" t="str">
            <v>2020021123</v>
          </cell>
        </row>
        <row r="272">
          <cell r="AC272" t="str">
            <v>2020021104</v>
          </cell>
        </row>
        <row r="273">
          <cell r="AC273" t="str">
            <v>2020021128</v>
          </cell>
        </row>
        <row r="274">
          <cell r="AC274" t="str">
            <v>2020021101</v>
          </cell>
        </row>
        <row r="275">
          <cell r="AC275" t="str">
            <v>2020021103</v>
          </cell>
        </row>
        <row r="276">
          <cell r="AC276" t="str">
            <v>2020021105</v>
          </cell>
        </row>
        <row r="277">
          <cell r="AC277" t="str">
            <v>2020021106</v>
          </cell>
        </row>
        <row r="278">
          <cell r="AC278" t="str">
            <v>2020021107</v>
          </cell>
        </row>
        <row r="279">
          <cell r="AC279" t="str">
            <v>2020021109</v>
          </cell>
        </row>
        <row r="280">
          <cell r="AC280" t="str">
            <v>2020021110</v>
          </cell>
        </row>
        <row r="281">
          <cell r="AC281" t="str">
            <v>2020021111</v>
          </cell>
        </row>
        <row r="282">
          <cell r="AC282" t="str">
            <v>2020021112</v>
          </cell>
        </row>
        <row r="283">
          <cell r="AC283" t="str">
            <v>2020021113</v>
          </cell>
        </row>
        <row r="284">
          <cell r="AC284" t="str">
            <v>2020021114</v>
          </cell>
        </row>
        <row r="285">
          <cell r="AC285" t="str">
            <v>2020021116</v>
          </cell>
        </row>
        <row r="286">
          <cell r="AC286" t="str">
            <v>2020021117</v>
          </cell>
        </row>
        <row r="287">
          <cell r="AC287" t="str">
            <v>2020021118</v>
          </cell>
        </row>
        <row r="288">
          <cell r="AC288" t="str">
            <v>2020021119</v>
          </cell>
        </row>
        <row r="289">
          <cell r="AC289" t="str">
            <v>2020021120</v>
          </cell>
        </row>
        <row r="290">
          <cell r="AC290" t="str">
            <v>2020021121</v>
          </cell>
        </row>
        <row r="291">
          <cell r="AC291" t="str">
            <v>2020021122</v>
          </cell>
        </row>
        <row r="292">
          <cell r="AC292" t="str">
            <v>2020021124</v>
          </cell>
        </row>
        <row r="293">
          <cell r="AC293" t="str">
            <v>2020021125</v>
          </cell>
        </row>
        <row r="294">
          <cell r="AC294" t="str">
            <v>2020021126</v>
          </cell>
        </row>
        <row r="295">
          <cell r="AC295" t="str">
            <v>2020021127</v>
          </cell>
        </row>
        <row r="296">
          <cell r="AC296" t="str">
            <v>2020021130</v>
          </cell>
        </row>
        <row r="297">
          <cell r="AC297" t="str">
            <v>2020021901</v>
          </cell>
        </row>
        <row r="298">
          <cell r="AC298" t="str">
            <v>2020021403</v>
          </cell>
        </row>
        <row r="299">
          <cell r="AC299" t="str">
            <v>2020021212</v>
          </cell>
        </row>
        <row r="300">
          <cell r="AC300" t="str">
            <v>2020021329</v>
          </cell>
        </row>
        <row r="301">
          <cell r="AC301" t="str">
            <v>2020021222</v>
          </cell>
        </row>
        <row r="302">
          <cell r="AC302" t="str">
            <v>2020021224</v>
          </cell>
        </row>
        <row r="303">
          <cell r="AC303" t="str">
            <v>2020021227</v>
          </cell>
        </row>
        <row r="304">
          <cell r="AC304" t="str">
            <v>2020021204</v>
          </cell>
        </row>
        <row r="305">
          <cell r="AC305" t="str">
            <v>2020021221</v>
          </cell>
        </row>
        <row r="306">
          <cell r="AC306" t="str">
            <v>2020021203</v>
          </cell>
        </row>
        <row r="307">
          <cell r="AC307" t="str">
            <v>2020021311</v>
          </cell>
        </row>
        <row r="308">
          <cell r="AC308" t="str">
            <v>2020021408</v>
          </cell>
        </row>
        <row r="308">
          <cell r="AN308" t="str">
            <v>通过规培的考生笔试加10分</v>
          </cell>
        </row>
        <row r="309">
          <cell r="AC309" t="str">
            <v>2020021207</v>
          </cell>
        </row>
        <row r="310">
          <cell r="AC310" t="str">
            <v>2020021330</v>
          </cell>
        </row>
        <row r="311">
          <cell r="AC311" t="str">
            <v>2020021214</v>
          </cell>
        </row>
        <row r="312">
          <cell r="AC312" t="str">
            <v>2020021205</v>
          </cell>
        </row>
        <row r="313">
          <cell r="AC313" t="str">
            <v>2020021301</v>
          </cell>
        </row>
        <row r="314">
          <cell r="AC314" t="str">
            <v>2020021410</v>
          </cell>
        </row>
        <row r="315">
          <cell r="AC315" t="str">
            <v>2020021229</v>
          </cell>
        </row>
        <row r="316">
          <cell r="AC316" t="str">
            <v>2020021327</v>
          </cell>
        </row>
        <row r="317">
          <cell r="AC317" t="str">
            <v>2020021317</v>
          </cell>
        </row>
        <row r="318">
          <cell r="AC318" t="str">
            <v>2020021303</v>
          </cell>
        </row>
        <row r="319">
          <cell r="AC319" t="str">
            <v>2020021309</v>
          </cell>
        </row>
        <row r="320">
          <cell r="AC320" t="str">
            <v>2020021220</v>
          </cell>
        </row>
        <row r="321">
          <cell r="AC321" t="str">
            <v>2020021225</v>
          </cell>
        </row>
        <row r="322">
          <cell r="AC322" t="str">
            <v>2020021218</v>
          </cell>
        </row>
        <row r="323">
          <cell r="AC323" t="str">
            <v>2020021208</v>
          </cell>
        </row>
        <row r="324">
          <cell r="AC324" t="str">
            <v>2020021307</v>
          </cell>
        </row>
        <row r="325">
          <cell r="AC325" t="str">
            <v>2020021201</v>
          </cell>
        </row>
        <row r="326">
          <cell r="AC326" t="str">
            <v>2020021202</v>
          </cell>
        </row>
        <row r="327">
          <cell r="AC327" t="str">
            <v>2020021206</v>
          </cell>
        </row>
        <row r="328">
          <cell r="AC328" t="str">
            <v>2020021209</v>
          </cell>
        </row>
        <row r="329">
          <cell r="AC329" t="str">
            <v>2020021210</v>
          </cell>
        </row>
        <row r="330">
          <cell r="AC330" t="str">
            <v>2020021211</v>
          </cell>
        </row>
        <row r="331">
          <cell r="AC331" t="str">
            <v>2020021213</v>
          </cell>
        </row>
        <row r="332">
          <cell r="AC332" t="str">
            <v>2020021215</v>
          </cell>
        </row>
        <row r="333">
          <cell r="AC333" t="str">
            <v>2020021216</v>
          </cell>
        </row>
        <row r="334">
          <cell r="AC334" t="str">
            <v>2020021217</v>
          </cell>
        </row>
        <row r="335">
          <cell r="AC335" t="str">
            <v>2020021219</v>
          </cell>
        </row>
        <row r="336">
          <cell r="AC336" t="str">
            <v>2020021223</v>
          </cell>
        </row>
        <row r="337">
          <cell r="AC337" t="str">
            <v>2020021226</v>
          </cell>
        </row>
        <row r="338">
          <cell r="AC338" t="str">
            <v>2020021228</v>
          </cell>
        </row>
        <row r="339">
          <cell r="AC339" t="str">
            <v>2020021230</v>
          </cell>
        </row>
        <row r="340">
          <cell r="AC340" t="str">
            <v>2020021302</v>
          </cell>
        </row>
        <row r="341">
          <cell r="AC341" t="str">
            <v>2020021304</v>
          </cell>
        </row>
        <row r="342">
          <cell r="AC342" t="str">
            <v>2020021305</v>
          </cell>
        </row>
        <row r="343">
          <cell r="AC343" t="str">
            <v>2020021306</v>
          </cell>
        </row>
        <row r="344">
          <cell r="AC344" t="str">
            <v>2020021308</v>
          </cell>
        </row>
        <row r="345">
          <cell r="AC345" t="str">
            <v>2020021310</v>
          </cell>
        </row>
        <row r="346">
          <cell r="AC346" t="str">
            <v>2020021312</v>
          </cell>
        </row>
        <row r="347">
          <cell r="AC347" t="str">
            <v>2020021313</v>
          </cell>
        </row>
        <row r="348">
          <cell r="AC348" t="str">
            <v>2020021314</v>
          </cell>
        </row>
        <row r="349">
          <cell r="AC349" t="str">
            <v>2020021315</v>
          </cell>
        </row>
        <row r="350">
          <cell r="AC350" t="str">
            <v>2020021316</v>
          </cell>
        </row>
        <row r="351">
          <cell r="AC351" t="str">
            <v>2020021318</v>
          </cell>
        </row>
        <row r="352">
          <cell r="AC352" t="str">
            <v>2020021319</v>
          </cell>
        </row>
        <row r="353">
          <cell r="AC353" t="str">
            <v>2020021320</v>
          </cell>
        </row>
        <row r="354">
          <cell r="AC354" t="str">
            <v>2020021321</v>
          </cell>
        </row>
        <row r="355">
          <cell r="AC355" t="str">
            <v>2020021322</v>
          </cell>
        </row>
        <row r="356">
          <cell r="AC356" t="str">
            <v>2020021323</v>
          </cell>
        </row>
        <row r="357">
          <cell r="AC357" t="str">
            <v>2020021324</v>
          </cell>
        </row>
        <row r="358">
          <cell r="AC358" t="str">
            <v>2020021325</v>
          </cell>
        </row>
        <row r="359">
          <cell r="AC359" t="str">
            <v>2020021326</v>
          </cell>
        </row>
        <row r="360">
          <cell r="AC360" t="str">
            <v>2020021328</v>
          </cell>
        </row>
        <row r="361">
          <cell r="AC361" t="str">
            <v>2020021401</v>
          </cell>
        </row>
        <row r="362">
          <cell r="AC362" t="str">
            <v>2020021402</v>
          </cell>
        </row>
        <row r="363">
          <cell r="AC363" t="str">
            <v>2020021404</v>
          </cell>
        </row>
        <row r="364">
          <cell r="AC364" t="str">
            <v>2020021405</v>
          </cell>
        </row>
        <row r="365">
          <cell r="AC365" t="str">
            <v>2020021406</v>
          </cell>
        </row>
        <row r="366">
          <cell r="AC366" t="str">
            <v>2020021407</v>
          </cell>
        </row>
        <row r="367">
          <cell r="AC367" t="str">
            <v>2020021409</v>
          </cell>
        </row>
        <row r="368">
          <cell r="AC368" t="str">
            <v>2020021411</v>
          </cell>
        </row>
        <row r="369">
          <cell r="AC369" t="str">
            <v>2020022322</v>
          </cell>
        </row>
        <row r="370">
          <cell r="AC370" t="str">
            <v>2020022520</v>
          </cell>
        </row>
        <row r="371">
          <cell r="AC371" t="str">
            <v>2020022507</v>
          </cell>
        </row>
        <row r="372">
          <cell r="AC372" t="str">
            <v>2020022424</v>
          </cell>
        </row>
        <row r="373">
          <cell r="AC373" t="str">
            <v>2020022513</v>
          </cell>
        </row>
        <row r="374">
          <cell r="AC374" t="str">
            <v>2020022521</v>
          </cell>
        </row>
        <row r="375">
          <cell r="AC375" t="str">
            <v>2020022522</v>
          </cell>
        </row>
        <row r="376">
          <cell r="AC376" t="str">
            <v>2020022325</v>
          </cell>
        </row>
        <row r="377">
          <cell r="AC377" t="str">
            <v>2020022515</v>
          </cell>
        </row>
        <row r="378">
          <cell r="AC378" t="str">
            <v>2020022529</v>
          </cell>
        </row>
        <row r="379">
          <cell r="AC379" t="str">
            <v>2020023103</v>
          </cell>
        </row>
        <row r="380">
          <cell r="AC380" t="str">
            <v>2020022428</v>
          </cell>
        </row>
        <row r="381">
          <cell r="AC381" t="str">
            <v>2020022305</v>
          </cell>
        </row>
        <row r="382">
          <cell r="AC382" t="str">
            <v>2020023105</v>
          </cell>
        </row>
        <row r="383">
          <cell r="AC383" t="str">
            <v>2020022429</v>
          </cell>
        </row>
        <row r="384">
          <cell r="AC384" t="str">
            <v>2020022304</v>
          </cell>
        </row>
        <row r="385">
          <cell r="AC385" t="str">
            <v>2020022401</v>
          </cell>
        </row>
        <row r="386">
          <cell r="AC386" t="str">
            <v>2020022517</v>
          </cell>
        </row>
        <row r="387">
          <cell r="AC387" t="str">
            <v>2020022518</v>
          </cell>
        </row>
        <row r="388">
          <cell r="AC388" t="str">
            <v>2020022303</v>
          </cell>
        </row>
        <row r="389">
          <cell r="AC389" t="str">
            <v>2020022327</v>
          </cell>
        </row>
        <row r="390">
          <cell r="AC390" t="str">
            <v>2020022410</v>
          </cell>
        </row>
        <row r="391">
          <cell r="AC391" t="str">
            <v>2020022427</v>
          </cell>
        </row>
        <row r="392">
          <cell r="AC392" t="str">
            <v>2020022430</v>
          </cell>
        </row>
        <row r="393">
          <cell r="AC393" t="str">
            <v>2020023123</v>
          </cell>
        </row>
        <row r="394">
          <cell r="AC394" t="str">
            <v>2020022321</v>
          </cell>
        </row>
        <row r="395">
          <cell r="AC395" t="str">
            <v>2020022422</v>
          </cell>
        </row>
        <row r="396">
          <cell r="AC396" t="str">
            <v>2020023111</v>
          </cell>
        </row>
        <row r="397">
          <cell r="AC397" t="str">
            <v>2020023102</v>
          </cell>
        </row>
        <row r="398">
          <cell r="AC398" t="str">
            <v>2020022509</v>
          </cell>
        </row>
        <row r="399">
          <cell r="AC399" t="str">
            <v>2020022411</v>
          </cell>
        </row>
        <row r="400">
          <cell r="AC400" t="str">
            <v>2020022316</v>
          </cell>
        </row>
        <row r="401">
          <cell r="AC401" t="str">
            <v>2020022415</v>
          </cell>
        </row>
        <row r="402">
          <cell r="AC402" t="str">
            <v>2020022519</v>
          </cell>
        </row>
        <row r="403">
          <cell r="AC403" t="str">
            <v>2020022310</v>
          </cell>
        </row>
        <row r="404">
          <cell r="AC404" t="str">
            <v>2020022329</v>
          </cell>
        </row>
        <row r="405">
          <cell r="AC405" t="str">
            <v>2020022301</v>
          </cell>
        </row>
        <row r="406">
          <cell r="AC406" t="str">
            <v>2020022318</v>
          </cell>
        </row>
        <row r="407">
          <cell r="AC407" t="str">
            <v>2020022418</v>
          </cell>
        </row>
        <row r="408">
          <cell r="AC408" t="str">
            <v>2020023107</v>
          </cell>
        </row>
        <row r="409">
          <cell r="AC409" t="str">
            <v>2020022313</v>
          </cell>
        </row>
        <row r="410">
          <cell r="AC410" t="str">
            <v>2020022523</v>
          </cell>
        </row>
        <row r="411">
          <cell r="AC411" t="str">
            <v>2020022323</v>
          </cell>
        </row>
        <row r="412">
          <cell r="AC412" t="str">
            <v>2020022528</v>
          </cell>
        </row>
        <row r="413">
          <cell r="AC413" t="str">
            <v>2020022420</v>
          </cell>
        </row>
        <row r="414">
          <cell r="AC414" t="str">
            <v>2020022527</v>
          </cell>
        </row>
        <row r="415">
          <cell r="AC415" t="str">
            <v>2020022502</v>
          </cell>
        </row>
        <row r="416">
          <cell r="AC416" t="str">
            <v>2020022414</v>
          </cell>
        </row>
        <row r="417">
          <cell r="AC417" t="str">
            <v>2020022302</v>
          </cell>
        </row>
        <row r="418">
          <cell r="AC418" t="str">
            <v>2020022306</v>
          </cell>
        </row>
        <row r="419">
          <cell r="AC419" t="str">
            <v>2020022307</v>
          </cell>
        </row>
        <row r="420">
          <cell r="AC420" t="str">
            <v>2020022308</v>
          </cell>
        </row>
        <row r="421">
          <cell r="AC421" t="str">
            <v>2020022309</v>
          </cell>
        </row>
        <row r="422">
          <cell r="AC422" t="str">
            <v>2020022311</v>
          </cell>
        </row>
        <row r="423">
          <cell r="AC423" t="str">
            <v>2020022312</v>
          </cell>
        </row>
        <row r="424">
          <cell r="AC424" t="str">
            <v>2020022314</v>
          </cell>
        </row>
        <row r="425">
          <cell r="AC425" t="str">
            <v>2020022315</v>
          </cell>
        </row>
        <row r="426">
          <cell r="AC426" t="str">
            <v>2020022317</v>
          </cell>
        </row>
        <row r="427">
          <cell r="AC427" t="str">
            <v>2020022319</v>
          </cell>
        </row>
        <row r="428">
          <cell r="AC428" t="str">
            <v>2020022320</v>
          </cell>
        </row>
        <row r="429">
          <cell r="AC429" t="str">
            <v>2020022324</v>
          </cell>
        </row>
        <row r="430">
          <cell r="AC430" t="str">
            <v>2020022328</v>
          </cell>
        </row>
        <row r="431">
          <cell r="AC431" t="str">
            <v>2020022330</v>
          </cell>
        </row>
        <row r="432">
          <cell r="AC432" t="str">
            <v>2020022402</v>
          </cell>
        </row>
        <row r="433">
          <cell r="AC433" t="str">
            <v>2020022403</v>
          </cell>
        </row>
        <row r="434">
          <cell r="AC434" t="str">
            <v>2020022404</v>
          </cell>
        </row>
        <row r="435">
          <cell r="AC435" t="str">
            <v>2020022405</v>
          </cell>
        </row>
        <row r="436">
          <cell r="AC436" t="str">
            <v>2020022406</v>
          </cell>
        </row>
        <row r="437">
          <cell r="AC437" t="str">
            <v>2020022407</v>
          </cell>
        </row>
        <row r="438">
          <cell r="AC438" t="str">
            <v>2020022408</v>
          </cell>
        </row>
        <row r="439">
          <cell r="AC439" t="str">
            <v>2020022409</v>
          </cell>
        </row>
        <row r="440">
          <cell r="AC440" t="str">
            <v>2020022412</v>
          </cell>
        </row>
        <row r="441">
          <cell r="AC441" t="str">
            <v>2020022413</v>
          </cell>
        </row>
        <row r="442">
          <cell r="AC442" t="str">
            <v>2020022416</v>
          </cell>
        </row>
        <row r="443">
          <cell r="AC443" t="str">
            <v>2020022417</v>
          </cell>
        </row>
        <row r="444">
          <cell r="AC444" t="str">
            <v>2020022419</v>
          </cell>
        </row>
        <row r="445">
          <cell r="AC445" t="str">
            <v>2020022421</v>
          </cell>
        </row>
        <row r="446">
          <cell r="AC446" t="str">
            <v>2020022423</v>
          </cell>
        </row>
        <row r="447">
          <cell r="AC447" t="str">
            <v>2020022425</v>
          </cell>
        </row>
        <row r="448">
          <cell r="AC448" t="str">
            <v>2020022426</v>
          </cell>
        </row>
        <row r="449">
          <cell r="AC449" t="str">
            <v>2020022501</v>
          </cell>
        </row>
        <row r="450">
          <cell r="AC450" t="str">
            <v>2020022503</v>
          </cell>
        </row>
        <row r="451">
          <cell r="AC451" t="str">
            <v>2020022504</v>
          </cell>
        </row>
        <row r="452">
          <cell r="AC452" t="str">
            <v>2020022505</v>
          </cell>
        </row>
        <row r="453">
          <cell r="AC453" t="str">
            <v>2020022506</v>
          </cell>
        </row>
        <row r="454">
          <cell r="AC454" t="str">
            <v>2020022508</v>
          </cell>
        </row>
        <row r="455">
          <cell r="AC455" t="str">
            <v>2020022510</v>
          </cell>
        </row>
        <row r="456">
          <cell r="AC456" t="str">
            <v>2020022511</v>
          </cell>
        </row>
        <row r="457">
          <cell r="AC457" t="str">
            <v>2020022512</v>
          </cell>
        </row>
        <row r="458">
          <cell r="AC458" t="str">
            <v>2020022514</v>
          </cell>
        </row>
        <row r="459">
          <cell r="AC459" t="str">
            <v>2020022516</v>
          </cell>
        </row>
        <row r="460">
          <cell r="AC460" t="str">
            <v>2020022524</v>
          </cell>
        </row>
        <row r="461">
          <cell r="AC461" t="str">
            <v>2020022525</v>
          </cell>
        </row>
        <row r="462">
          <cell r="AC462" t="str">
            <v>2020022526</v>
          </cell>
        </row>
        <row r="463">
          <cell r="AC463" t="str">
            <v>2020022530</v>
          </cell>
        </row>
        <row r="464">
          <cell r="AC464" t="str">
            <v>2020023101</v>
          </cell>
        </row>
        <row r="465">
          <cell r="AC465" t="str">
            <v>2020023104</v>
          </cell>
        </row>
        <row r="466">
          <cell r="AC466" t="str">
            <v>2020023106</v>
          </cell>
        </row>
        <row r="467">
          <cell r="AC467" t="str">
            <v>2020023108</v>
          </cell>
        </row>
        <row r="468">
          <cell r="AC468" t="str">
            <v>2020023109</v>
          </cell>
        </row>
        <row r="469">
          <cell r="AC469" t="str">
            <v>2020023110</v>
          </cell>
        </row>
        <row r="470">
          <cell r="AC470" t="str">
            <v>2020023112</v>
          </cell>
        </row>
        <row r="471">
          <cell r="AC471" t="str">
            <v>2020023113</v>
          </cell>
        </row>
        <row r="472">
          <cell r="AC472" t="str">
            <v>2020023114</v>
          </cell>
        </row>
        <row r="473">
          <cell r="AC473" t="str">
            <v>2020023115</v>
          </cell>
        </row>
        <row r="474">
          <cell r="AC474" t="str">
            <v>2020023116</v>
          </cell>
        </row>
        <row r="475">
          <cell r="AC475" t="str">
            <v>2020023117</v>
          </cell>
        </row>
        <row r="476">
          <cell r="AC476" t="str">
            <v>2020023118</v>
          </cell>
        </row>
        <row r="477">
          <cell r="AC477" t="str">
            <v>2020023119</v>
          </cell>
        </row>
        <row r="478">
          <cell r="AC478" t="str">
            <v>2020023120</v>
          </cell>
        </row>
        <row r="479">
          <cell r="AC479" t="str">
            <v>2020023121</v>
          </cell>
        </row>
        <row r="480">
          <cell r="AC480" t="str">
            <v>2020023122</v>
          </cell>
        </row>
        <row r="481">
          <cell r="AC481" t="str">
            <v>2020021713</v>
          </cell>
        </row>
        <row r="482">
          <cell r="AC482" t="str">
            <v>2020021806</v>
          </cell>
        </row>
        <row r="483">
          <cell r="AC483" t="str">
            <v>2020021605</v>
          </cell>
        </row>
        <row r="484">
          <cell r="AC484" t="str">
            <v>2020021519</v>
          </cell>
        </row>
        <row r="485">
          <cell r="AC485" t="str">
            <v>2020021622</v>
          </cell>
        </row>
        <row r="486">
          <cell r="AC486" t="str">
            <v>2020021827</v>
          </cell>
        </row>
        <row r="487">
          <cell r="AC487" t="str">
            <v>2020021611</v>
          </cell>
        </row>
        <row r="488">
          <cell r="AC488" t="str">
            <v>2020021809</v>
          </cell>
        </row>
        <row r="489">
          <cell r="AC489" t="str">
            <v>2020021501</v>
          </cell>
        </row>
        <row r="489">
          <cell r="AN489" t="str">
            <v>通过规培的考生笔试加10分</v>
          </cell>
        </row>
        <row r="490">
          <cell r="AC490" t="str">
            <v>2020021717</v>
          </cell>
        </row>
        <row r="491">
          <cell r="AC491" t="str">
            <v>2020021518</v>
          </cell>
        </row>
        <row r="492">
          <cell r="AC492" t="str">
            <v>2020021626</v>
          </cell>
        </row>
        <row r="493">
          <cell r="AC493" t="str">
            <v>2020021616</v>
          </cell>
        </row>
        <row r="494">
          <cell r="AC494" t="str">
            <v>2020021710</v>
          </cell>
        </row>
        <row r="495">
          <cell r="AC495" t="str">
            <v>2020023005</v>
          </cell>
        </row>
        <row r="496">
          <cell r="AC496" t="str">
            <v>2020021727</v>
          </cell>
        </row>
        <row r="497">
          <cell r="AC497" t="str">
            <v>2020021612</v>
          </cell>
        </row>
        <row r="498">
          <cell r="AC498" t="str">
            <v>2020021515</v>
          </cell>
        </row>
        <row r="499">
          <cell r="AC499" t="str">
            <v>2020021522</v>
          </cell>
        </row>
        <row r="500">
          <cell r="AC500" t="str">
            <v>2020021704</v>
          </cell>
        </row>
        <row r="501">
          <cell r="AC501" t="str">
            <v>2020021719</v>
          </cell>
        </row>
        <row r="502">
          <cell r="AC502" t="str">
            <v>2020021628</v>
          </cell>
        </row>
        <row r="503">
          <cell r="AC503" t="str">
            <v>2020021703</v>
          </cell>
        </row>
        <row r="504">
          <cell r="AC504" t="str">
            <v>2020021805</v>
          </cell>
        </row>
        <row r="505">
          <cell r="AC505" t="str">
            <v>2020021504</v>
          </cell>
        </row>
        <row r="506">
          <cell r="AC506" t="str">
            <v>2020021803</v>
          </cell>
        </row>
        <row r="507">
          <cell r="AC507" t="str">
            <v>2020021820</v>
          </cell>
        </row>
        <row r="508">
          <cell r="AC508" t="str">
            <v>2020021606</v>
          </cell>
        </row>
        <row r="509">
          <cell r="AC509" t="str">
            <v>2020021502</v>
          </cell>
        </row>
        <row r="510">
          <cell r="AC510" t="str">
            <v>2020021812</v>
          </cell>
        </row>
        <row r="511">
          <cell r="AC511" t="str">
            <v>2020021503</v>
          </cell>
        </row>
        <row r="512">
          <cell r="AC512" t="str">
            <v>2020021505</v>
          </cell>
        </row>
        <row r="513">
          <cell r="AC513" t="str">
            <v>2020021506</v>
          </cell>
        </row>
        <row r="514">
          <cell r="AC514" t="str">
            <v>2020021507</v>
          </cell>
        </row>
        <row r="515">
          <cell r="AC515" t="str">
            <v>2020021508</v>
          </cell>
        </row>
        <row r="516">
          <cell r="AC516" t="str">
            <v>2020021509</v>
          </cell>
        </row>
        <row r="517">
          <cell r="AC517" t="str">
            <v>2020021510</v>
          </cell>
        </row>
        <row r="518">
          <cell r="AC518" t="str">
            <v>2020021511</v>
          </cell>
        </row>
        <row r="519">
          <cell r="AC519" t="str">
            <v>2020021512</v>
          </cell>
        </row>
        <row r="520">
          <cell r="AC520" t="str">
            <v>2020021513</v>
          </cell>
        </row>
        <row r="521">
          <cell r="AC521" t="str">
            <v>2020021514</v>
          </cell>
        </row>
        <row r="522">
          <cell r="AC522" t="str">
            <v>2020021516</v>
          </cell>
        </row>
        <row r="523">
          <cell r="AC523" t="str">
            <v>2020021517</v>
          </cell>
        </row>
        <row r="524">
          <cell r="AC524" t="str">
            <v>2020021520</v>
          </cell>
        </row>
        <row r="525">
          <cell r="AC525" t="str">
            <v>2020021521</v>
          </cell>
        </row>
        <row r="526">
          <cell r="AC526" t="str">
            <v>2020021523</v>
          </cell>
        </row>
        <row r="527">
          <cell r="AC527" t="str">
            <v>2020021524</v>
          </cell>
        </row>
        <row r="528">
          <cell r="AC528" t="str">
            <v>2020021525</v>
          </cell>
        </row>
        <row r="529">
          <cell r="AC529" t="str">
            <v>2020021526</v>
          </cell>
        </row>
        <row r="530">
          <cell r="AC530" t="str">
            <v>2020021527</v>
          </cell>
        </row>
        <row r="531">
          <cell r="AC531" t="str">
            <v>2020021528</v>
          </cell>
        </row>
        <row r="532">
          <cell r="AC532" t="str">
            <v>2020021529</v>
          </cell>
        </row>
        <row r="533">
          <cell r="AC533" t="str">
            <v>2020021530</v>
          </cell>
        </row>
        <row r="534">
          <cell r="AC534" t="str">
            <v>2020021601</v>
          </cell>
        </row>
        <row r="535">
          <cell r="AC535" t="str">
            <v>2020021602</v>
          </cell>
        </row>
        <row r="536">
          <cell r="AC536" t="str">
            <v>2020021603</v>
          </cell>
        </row>
        <row r="537">
          <cell r="AC537" t="str">
            <v>2020021604</v>
          </cell>
        </row>
        <row r="538">
          <cell r="AC538" t="str">
            <v>2020021607</v>
          </cell>
        </row>
        <row r="539">
          <cell r="AC539" t="str">
            <v>2020021608</v>
          </cell>
        </row>
        <row r="540">
          <cell r="AC540" t="str">
            <v>2020021609</v>
          </cell>
        </row>
        <row r="541">
          <cell r="AC541" t="str">
            <v>2020021610</v>
          </cell>
        </row>
        <row r="542">
          <cell r="AC542" t="str">
            <v>2020021613</v>
          </cell>
        </row>
        <row r="543">
          <cell r="AC543" t="str">
            <v>2020021614</v>
          </cell>
        </row>
        <row r="544">
          <cell r="AC544" t="str">
            <v>2020021615</v>
          </cell>
        </row>
        <row r="545">
          <cell r="AC545" t="str">
            <v>2020021617</v>
          </cell>
        </row>
        <row r="546">
          <cell r="AC546" t="str">
            <v>2020021618</v>
          </cell>
        </row>
        <row r="547">
          <cell r="AC547" t="str">
            <v>2020021619</v>
          </cell>
        </row>
        <row r="548">
          <cell r="AC548" t="str">
            <v>2020021620</v>
          </cell>
        </row>
        <row r="549">
          <cell r="AC549" t="str">
            <v>2020021621</v>
          </cell>
        </row>
        <row r="550">
          <cell r="AC550" t="str">
            <v>2020021623</v>
          </cell>
        </row>
        <row r="551">
          <cell r="AC551" t="str">
            <v>2020021624</v>
          </cell>
        </row>
        <row r="552">
          <cell r="AC552" t="str">
            <v>2020021625</v>
          </cell>
        </row>
        <row r="553">
          <cell r="AC553" t="str">
            <v>2020021627</v>
          </cell>
        </row>
        <row r="554">
          <cell r="AC554" t="str">
            <v>2020021629</v>
          </cell>
        </row>
        <row r="555">
          <cell r="AC555" t="str">
            <v>2020021630</v>
          </cell>
        </row>
        <row r="556">
          <cell r="AC556" t="str">
            <v>2020021701</v>
          </cell>
        </row>
        <row r="557">
          <cell r="AC557" t="str">
            <v>2020021702</v>
          </cell>
        </row>
        <row r="558">
          <cell r="AC558" t="str">
            <v>2020021705</v>
          </cell>
        </row>
        <row r="559">
          <cell r="AC559" t="str">
            <v>2020021706</v>
          </cell>
        </row>
        <row r="560">
          <cell r="AC560" t="str">
            <v>2020021707</v>
          </cell>
        </row>
        <row r="561">
          <cell r="AC561" t="str">
            <v>2020021708</v>
          </cell>
        </row>
        <row r="562">
          <cell r="AC562" t="str">
            <v>2020021709</v>
          </cell>
        </row>
        <row r="563">
          <cell r="AC563" t="str">
            <v>2020021711</v>
          </cell>
        </row>
        <row r="564">
          <cell r="AC564" t="str">
            <v>2020021712</v>
          </cell>
        </row>
        <row r="565">
          <cell r="AC565" t="str">
            <v>2020021714</v>
          </cell>
        </row>
        <row r="566">
          <cell r="AC566" t="str">
            <v>2020021715</v>
          </cell>
        </row>
        <row r="567">
          <cell r="AC567" t="str">
            <v>2020021716</v>
          </cell>
        </row>
        <row r="568">
          <cell r="AC568" t="str">
            <v>2020021718</v>
          </cell>
        </row>
        <row r="569">
          <cell r="AC569" t="str">
            <v>2020021720</v>
          </cell>
        </row>
        <row r="570">
          <cell r="AC570" t="str">
            <v>2020021721</v>
          </cell>
        </row>
        <row r="571">
          <cell r="AC571" t="str">
            <v>2020021722</v>
          </cell>
        </row>
        <row r="572">
          <cell r="AC572" t="str">
            <v>2020021723</v>
          </cell>
        </row>
        <row r="573">
          <cell r="AC573" t="str">
            <v>2020021724</v>
          </cell>
        </row>
        <row r="574">
          <cell r="AC574" t="str">
            <v>2020021725</v>
          </cell>
        </row>
        <row r="575">
          <cell r="AC575" t="str">
            <v>2020021726</v>
          </cell>
        </row>
        <row r="576">
          <cell r="AC576" t="str">
            <v>2020021728</v>
          </cell>
        </row>
        <row r="577">
          <cell r="AC577" t="str">
            <v>2020021729</v>
          </cell>
        </row>
        <row r="578">
          <cell r="AC578" t="str">
            <v>2020021730</v>
          </cell>
        </row>
        <row r="579">
          <cell r="AC579" t="str">
            <v>2020021801</v>
          </cell>
        </row>
        <row r="580">
          <cell r="AC580" t="str">
            <v>2020021802</v>
          </cell>
        </row>
        <row r="581">
          <cell r="AC581" t="str">
            <v>2020021804</v>
          </cell>
        </row>
        <row r="582">
          <cell r="AC582" t="str">
            <v>2020021807</v>
          </cell>
        </row>
        <row r="583">
          <cell r="AC583" t="str">
            <v>2020021808</v>
          </cell>
        </row>
        <row r="584">
          <cell r="AC584" t="str">
            <v>2020021810</v>
          </cell>
        </row>
        <row r="585">
          <cell r="AC585" t="str">
            <v>2020021811</v>
          </cell>
        </row>
        <row r="586">
          <cell r="AC586" t="str">
            <v>2020021813</v>
          </cell>
        </row>
        <row r="587">
          <cell r="AC587" t="str">
            <v>2020021814</v>
          </cell>
        </row>
        <row r="588">
          <cell r="AC588" t="str">
            <v>2020021815</v>
          </cell>
        </row>
        <row r="589">
          <cell r="AC589" t="str">
            <v>2020021816</v>
          </cell>
        </row>
        <row r="590">
          <cell r="AC590" t="str">
            <v>2020021817</v>
          </cell>
        </row>
        <row r="591">
          <cell r="AC591" t="str">
            <v>2020021818</v>
          </cell>
        </row>
        <row r="592">
          <cell r="AC592" t="str">
            <v>2020021819</v>
          </cell>
        </row>
        <row r="593">
          <cell r="AC593" t="str">
            <v>2020021821</v>
          </cell>
        </row>
        <row r="594">
          <cell r="AC594" t="str">
            <v>2020021822</v>
          </cell>
        </row>
        <row r="595">
          <cell r="AC595" t="str">
            <v>2020021823</v>
          </cell>
        </row>
        <row r="596">
          <cell r="AC596" t="str">
            <v>2020021824</v>
          </cell>
        </row>
        <row r="597">
          <cell r="AC597" t="str">
            <v>2020021825</v>
          </cell>
        </row>
        <row r="598">
          <cell r="AC598" t="str">
            <v>2020021826</v>
          </cell>
        </row>
        <row r="599">
          <cell r="AC599" t="str">
            <v>2020021828</v>
          </cell>
        </row>
        <row r="600">
          <cell r="AC600" t="str">
            <v>2020021829</v>
          </cell>
        </row>
        <row r="601">
          <cell r="AC601" t="str">
            <v>2020021830</v>
          </cell>
        </row>
        <row r="602">
          <cell r="AC602" t="str">
            <v>2020023001</v>
          </cell>
        </row>
        <row r="603">
          <cell r="AC603" t="str">
            <v>2020023002</v>
          </cell>
        </row>
        <row r="604">
          <cell r="AC604" t="str">
            <v>2020023003</v>
          </cell>
        </row>
        <row r="605">
          <cell r="AC605" t="str">
            <v>2020023004</v>
          </cell>
        </row>
        <row r="606">
          <cell r="AC606" t="str">
            <v>2020023006</v>
          </cell>
        </row>
        <row r="607">
          <cell r="AC607" t="str">
            <v>2020023007</v>
          </cell>
        </row>
        <row r="608">
          <cell r="AC608" t="str">
            <v>2020023008</v>
          </cell>
        </row>
        <row r="609">
          <cell r="AC609" t="str">
            <v>2020023009</v>
          </cell>
        </row>
        <row r="610">
          <cell r="AC610" t="str">
            <v>2020023010</v>
          </cell>
        </row>
        <row r="611">
          <cell r="AC611" t="str">
            <v>2020023403</v>
          </cell>
        </row>
        <row r="612">
          <cell r="AC612" t="str">
            <v>2020023621</v>
          </cell>
        </row>
        <row r="613">
          <cell r="AC613" t="str">
            <v>2020023302</v>
          </cell>
        </row>
        <row r="614">
          <cell r="AC614" t="str">
            <v>2020023511</v>
          </cell>
        </row>
        <row r="615">
          <cell r="AC615" t="str">
            <v>2020023603</v>
          </cell>
        </row>
        <row r="616">
          <cell r="AC616" t="str">
            <v>2020023414</v>
          </cell>
        </row>
        <row r="617">
          <cell r="AC617" t="str">
            <v>2020023516</v>
          </cell>
        </row>
        <row r="618">
          <cell r="AC618" t="str">
            <v>2020023524</v>
          </cell>
        </row>
        <row r="619">
          <cell r="AC619" t="str">
            <v>2020023624</v>
          </cell>
        </row>
        <row r="620">
          <cell r="AC620" t="str">
            <v>2020023704</v>
          </cell>
        </row>
        <row r="621">
          <cell r="AC621" t="str">
            <v>2020023427</v>
          </cell>
        </row>
        <row r="622">
          <cell r="AC622" t="str">
            <v>2020023409</v>
          </cell>
        </row>
        <row r="623">
          <cell r="AC623" t="str">
            <v>2020023412</v>
          </cell>
        </row>
        <row r="624">
          <cell r="AC624" t="str">
            <v>2020023509</v>
          </cell>
        </row>
        <row r="625">
          <cell r="AC625" t="str">
            <v>2020023517</v>
          </cell>
        </row>
        <row r="626">
          <cell r="AC626" t="str">
            <v>2020023311</v>
          </cell>
        </row>
        <row r="627">
          <cell r="AC627" t="str">
            <v>2020023705</v>
          </cell>
        </row>
        <row r="628">
          <cell r="AC628" t="str">
            <v>2020023219</v>
          </cell>
        </row>
        <row r="629">
          <cell r="AC629" t="str">
            <v>2020023319</v>
          </cell>
        </row>
        <row r="630">
          <cell r="AC630" t="str">
            <v>2020023416</v>
          </cell>
        </row>
        <row r="631">
          <cell r="AC631" t="str">
            <v>2020023503</v>
          </cell>
        </row>
        <row r="632">
          <cell r="AC632" t="str">
            <v>2020023327</v>
          </cell>
        </row>
        <row r="633">
          <cell r="AC633" t="str">
            <v>2020023329</v>
          </cell>
        </row>
        <row r="634">
          <cell r="AC634" t="str">
            <v>2020023227</v>
          </cell>
        </row>
        <row r="635">
          <cell r="AC635" t="str">
            <v>2020023306</v>
          </cell>
        </row>
        <row r="636">
          <cell r="AC636" t="str">
            <v>2020023526</v>
          </cell>
        </row>
        <row r="637">
          <cell r="AC637" t="str">
            <v>2020023415</v>
          </cell>
        </row>
        <row r="638">
          <cell r="AC638" t="str">
            <v>2020023307</v>
          </cell>
        </row>
        <row r="639">
          <cell r="AC639" t="str">
            <v>2020023308</v>
          </cell>
        </row>
        <row r="640">
          <cell r="AC640" t="str">
            <v>2020023330</v>
          </cell>
        </row>
        <row r="641">
          <cell r="AC641" t="str">
            <v>2020023508</v>
          </cell>
        </row>
        <row r="642">
          <cell r="AC642" t="str">
            <v>2020023514</v>
          </cell>
        </row>
        <row r="643">
          <cell r="AC643" t="str">
            <v>2020023401</v>
          </cell>
        </row>
        <row r="644">
          <cell r="AC644" t="str">
            <v>2020023502</v>
          </cell>
        </row>
        <row r="645">
          <cell r="AC645" t="str">
            <v>2020023513</v>
          </cell>
        </row>
        <row r="646">
          <cell r="AC646" t="str">
            <v>2020023607</v>
          </cell>
        </row>
        <row r="647">
          <cell r="AC647" t="str">
            <v>2020023518</v>
          </cell>
        </row>
        <row r="648">
          <cell r="AC648" t="str">
            <v>2020023725</v>
          </cell>
        </row>
        <row r="649">
          <cell r="AC649" t="str">
            <v>2020023716</v>
          </cell>
        </row>
        <row r="650">
          <cell r="AC650" t="str">
            <v>2020023323</v>
          </cell>
        </row>
        <row r="651">
          <cell r="AC651" t="str">
            <v>2020023317</v>
          </cell>
        </row>
        <row r="652">
          <cell r="AC652" t="str">
            <v>2020023406</v>
          </cell>
        </row>
        <row r="653">
          <cell r="AC653" t="str">
            <v>2020023411</v>
          </cell>
        </row>
        <row r="654">
          <cell r="AC654" t="str">
            <v>2020023418</v>
          </cell>
        </row>
        <row r="655">
          <cell r="AC655" t="str">
            <v>2020023721</v>
          </cell>
        </row>
        <row r="656">
          <cell r="AC656" t="str">
            <v>2020023315</v>
          </cell>
        </row>
        <row r="657">
          <cell r="AC657" t="str">
            <v>2020023719</v>
          </cell>
        </row>
        <row r="658">
          <cell r="AC658" t="str">
            <v>2020023402</v>
          </cell>
        </row>
        <row r="659">
          <cell r="AC659" t="str">
            <v>2020023601</v>
          </cell>
        </row>
        <row r="660">
          <cell r="AC660" t="str">
            <v>2020023519</v>
          </cell>
        </row>
        <row r="661">
          <cell r="AC661" t="str">
            <v>2020023604</v>
          </cell>
        </row>
        <row r="662">
          <cell r="AC662" t="str">
            <v>2020023404</v>
          </cell>
        </row>
        <row r="663">
          <cell r="AC663" t="str">
            <v>2020023417</v>
          </cell>
        </row>
        <row r="664">
          <cell r="AC664" t="str">
            <v>2020023422</v>
          </cell>
        </row>
        <row r="665">
          <cell r="AC665" t="str">
            <v>2020023424</v>
          </cell>
        </row>
        <row r="666">
          <cell r="AC666" t="str">
            <v>2020023520</v>
          </cell>
        </row>
        <row r="667">
          <cell r="AC667" t="str">
            <v>2020023523</v>
          </cell>
        </row>
        <row r="668">
          <cell r="AC668" t="str">
            <v>2020023605</v>
          </cell>
        </row>
        <row r="669">
          <cell r="AC669" t="str">
            <v>2020023713</v>
          </cell>
        </row>
        <row r="670">
          <cell r="AC670" t="str">
            <v>2020023714</v>
          </cell>
        </row>
        <row r="671">
          <cell r="AC671" t="str">
            <v>2020023304</v>
          </cell>
        </row>
        <row r="672">
          <cell r="AC672" t="str">
            <v>2020023316</v>
          </cell>
        </row>
        <row r="673">
          <cell r="AC673" t="str">
            <v>2020023504</v>
          </cell>
        </row>
        <row r="674">
          <cell r="AC674" t="str">
            <v>2020023321</v>
          </cell>
        </row>
        <row r="675">
          <cell r="AC675" t="str">
            <v>2020023425</v>
          </cell>
        </row>
        <row r="676">
          <cell r="AC676" t="str">
            <v>2020023407</v>
          </cell>
        </row>
        <row r="677">
          <cell r="AC677" t="str">
            <v>2020023530</v>
          </cell>
        </row>
        <row r="678">
          <cell r="AC678" t="str">
            <v>2020023326</v>
          </cell>
        </row>
        <row r="679">
          <cell r="AC679" t="str">
            <v>2020023616</v>
          </cell>
        </row>
        <row r="680">
          <cell r="AC680" t="str">
            <v>2020023220</v>
          </cell>
        </row>
        <row r="681">
          <cell r="AC681" t="str">
            <v>2020023221</v>
          </cell>
        </row>
        <row r="682">
          <cell r="AC682" t="str">
            <v>2020023222</v>
          </cell>
        </row>
        <row r="683">
          <cell r="AC683" t="str">
            <v>2020023223</v>
          </cell>
        </row>
        <row r="684">
          <cell r="AC684" t="str">
            <v>2020023224</v>
          </cell>
        </row>
        <row r="685">
          <cell r="AC685" t="str">
            <v>2020023225</v>
          </cell>
        </row>
        <row r="686">
          <cell r="AC686" t="str">
            <v>2020023226</v>
          </cell>
        </row>
        <row r="687">
          <cell r="AC687" t="str">
            <v>2020023301</v>
          </cell>
        </row>
        <row r="688">
          <cell r="AC688" t="str">
            <v>2020023303</v>
          </cell>
        </row>
        <row r="689">
          <cell r="AC689" t="str">
            <v>2020023305</v>
          </cell>
        </row>
        <row r="690">
          <cell r="AC690" t="str">
            <v>2020023309</v>
          </cell>
        </row>
        <row r="691">
          <cell r="AC691" t="str">
            <v>2020023310</v>
          </cell>
        </row>
        <row r="692">
          <cell r="AC692" t="str">
            <v>2020023312</v>
          </cell>
        </row>
        <row r="693">
          <cell r="AC693" t="str">
            <v>2020023313</v>
          </cell>
        </row>
        <row r="694">
          <cell r="AC694" t="str">
            <v>2020023314</v>
          </cell>
        </row>
        <row r="695">
          <cell r="AC695" t="str">
            <v>2020023318</v>
          </cell>
        </row>
        <row r="696">
          <cell r="AC696" t="str">
            <v>2020023320</v>
          </cell>
        </row>
        <row r="697">
          <cell r="AC697" t="str">
            <v>2020023322</v>
          </cell>
        </row>
        <row r="698">
          <cell r="AC698" t="str">
            <v>2020023324</v>
          </cell>
        </row>
        <row r="699">
          <cell r="AC699" t="str">
            <v>2020023325</v>
          </cell>
        </row>
        <row r="700">
          <cell r="AC700" t="str">
            <v>2020023328</v>
          </cell>
        </row>
        <row r="701">
          <cell r="AC701" t="str">
            <v>2020023405</v>
          </cell>
        </row>
        <row r="702">
          <cell r="AC702" t="str">
            <v>2020023408</v>
          </cell>
        </row>
        <row r="703">
          <cell r="AC703" t="str">
            <v>2020023410</v>
          </cell>
        </row>
        <row r="704">
          <cell r="AC704" t="str">
            <v>2020023413</v>
          </cell>
        </row>
        <row r="705">
          <cell r="AC705" t="str">
            <v>2020023419</v>
          </cell>
        </row>
        <row r="706">
          <cell r="AC706" t="str">
            <v>2020023420</v>
          </cell>
        </row>
        <row r="707">
          <cell r="AC707" t="str">
            <v>2020023421</v>
          </cell>
        </row>
        <row r="708">
          <cell r="AC708" t="str">
            <v>2020023423</v>
          </cell>
        </row>
        <row r="709">
          <cell r="AC709" t="str">
            <v>2020023426</v>
          </cell>
        </row>
        <row r="710">
          <cell r="AC710" t="str">
            <v>2020023428</v>
          </cell>
        </row>
        <row r="711">
          <cell r="AC711" t="str">
            <v>2020023429</v>
          </cell>
        </row>
        <row r="712">
          <cell r="AC712" t="str">
            <v>2020023430</v>
          </cell>
        </row>
        <row r="713">
          <cell r="AC713" t="str">
            <v>2020023501</v>
          </cell>
        </row>
        <row r="714">
          <cell r="AC714" t="str">
            <v>2020023505</v>
          </cell>
        </row>
        <row r="715">
          <cell r="AC715" t="str">
            <v>2020023506</v>
          </cell>
        </row>
        <row r="716">
          <cell r="AC716" t="str">
            <v>2020023507</v>
          </cell>
        </row>
        <row r="717">
          <cell r="AC717" t="str">
            <v>2020023510</v>
          </cell>
        </row>
        <row r="718">
          <cell r="AC718" t="str">
            <v>2020023512</v>
          </cell>
        </row>
        <row r="719">
          <cell r="AC719" t="str">
            <v>2020023515</v>
          </cell>
        </row>
        <row r="720">
          <cell r="AC720" t="str">
            <v>2020023521</v>
          </cell>
        </row>
        <row r="721">
          <cell r="AC721" t="str">
            <v>2020023522</v>
          </cell>
        </row>
        <row r="722">
          <cell r="AC722" t="str">
            <v>2020023525</v>
          </cell>
        </row>
        <row r="723">
          <cell r="AC723" t="str">
            <v>2020023527</v>
          </cell>
        </row>
        <row r="724">
          <cell r="AC724" t="str">
            <v>2020023528</v>
          </cell>
        </row>
        <row r="725">
          <cell r="AC725" t="str">
            <v>2020023529</v>
          </cell>
        </row>
        <row r="726">
          <cell r="AC726" t="str">
            <v>2020023602</v>
          </cell>
        </row>
        <row r="727">
          <cell r="AC727" t="str">
            <v>2020023606</v>
          </cell>
        </row>
        <row r="728">
          <cell r="AC728" t="str">
            <v>2020023608</v>
          </cell>
        </row>
        <row r="729">
          <cell r="AC729" t="str">
            <v>2020023609</v>
          </cell>
        </row>
        <row r="730">
          <cell r="AC730" t="str">
            <v>2020023610</v>
          </cell>
        </row>
        <row r="731">
          <cell r="AC731" t="str">
            <v>2020023611</v>
          </cell>
        </row>
        <row r="732">
          <cell r="AC732" t="str">
            <v>2020023612</v>
          </cell>
        </row>
        <row r="733">
          <cell r="AC733" t="str">
            <v>2020023613</v>
          </cell>
        </row>
        <row r="734">
          <cell r="AC734" t="str">
            <v>2020023614</v>
          </cell>
        </row>
        <row r="735">
          <cell r="AC735" t="str">
            <v>2020023615</v>
          </cell>
        </row>
        <row r="736">
          <cell r="AC736" t="str">
            <v>2020023617</v>
          </cell>
        </row>
        <row r="737">
          <cell r="AC737" t="str">
            <v>2020023618</v>
          </cell>
        </row>
        <row r="738">
          <cell r="AC738" t="str">
            <v>2020023619</v>
          </cell>
        </row>
        <row r="739">
          <cell r="AC739" t="str">
            <v>2020023620</v>
          </cell>
        </row>
        <row r="740">
          <cell r="AC740" t="str">
            <v>2020023622</v>
          </cell>
        </row>
        <row r="741">
          <cell r="AC741" t="str">
            <v>2020023623</v>
          </cell>
        </row>
        <row r="742">
          <cell r="AC742" t="str">
            <v>2020023625</v>
          </cell>
        </row>
        <row r="743">
          <cell r="AC743" t="str">
            <v>2020023626</v>
          </cell>
        </row>
        <row r="744">
          <cell r="AC744" t="str">
            <v>2020023627</v>
          </cell>
        </row>
        <row r="745">
          <cell r="AC745" t="str">
            <v>2020023628</v>
          </cell>
        </row>
        <row r="746">
          <cell r="AC746" t="str">
            <v>2020023629</v>
          </cell>
        </row>
        <row r="747">
          <cell r="AC747" t="str">
            <v>2020023630</v>
          </cell>
        </row>
        <row r="748">
          <cell r="AC748" t="str">
            <v>2020023701</v>
          </cell>
        </row>
        <row r="749">
          <cell r="AC749" t="str">
            <v>2020023702</v>
          </cell>
        </row>
        <row r="750">
          <cell r="AC750" t="str">
            <v>2020023703</v>
          </cell>
        </row>
        <row r="751">
          <cell r="AC751" t="str">
            <v>2020023706</v>
          </cell>
        </row>
        <row r="752">
          <cell r="AC752" t="str">
            <v>2020023707</v>
          </cell>
        </row>
        <row r="753">
          <cell r="AC753" t="str">
            <v>2020023708</v>
          </cell>
        </row>
        <row r="754">
          <cell r="AC754" t="str">
            <v>2020023709</v>
          </cell>
        </row>
        <row r="755">
          <cell r="AC755" t="str">
            <v>2020023710</v>
          </cell>
        </row>
        <row r="756">
          <cell r="AC756" t="str">
            <v>2020023711</v>
          </cell>
        </row>
        <row r="757">
          <cell r="AC757" t="str">
            <v>2020023712</v>
          </cell>
        </row>
        <row r="758">
          <cell r="AC758" t="str">
            <v>2020023715</v>
          </cell>
        </row>
        <row r="759">
          <cell r="AC759" t="str">
            <v>2020023717</v>
          </cell>
        </row>
        <row r="760">
          <cell r="AC760" t="str">
            <v>2020023718</v>
          </cell>
        </row>
        <row r="761">
          <cell r="AC761" t="str">
            <v>2020023720</v>
          </cell>
        </row>
        <row r="762">
          <cell r="AC762" t="str">
            <v>2020023722</v>
          </cell>
        </row>
        <row r="763">
          <cell r="AC763" t="str">
            <v>2020023723</v>
          </cell>
        </row>
        <row r="764">
          <cell r="AC764" t="str">
            <v>2020023724</v>
          </cell>
        </row>
        <row r="765">
          <cell r="AC765" t="str">
            <v>2020023726</v>
          </cell>
        </row>
        <row r="766">
          <cell r="AC766" t="str">
            <v>2020023727</v>
          </cell>
        </row>
        <row r="767">
          <cell r="AC767" t="str">
            <v>2020023728</v>
          </cell>
        </row>
        <row r="768">
          <cell r="AC768" t="str">
            <v>2020023729</v>
          </cell>
        </row>
        <row r="769">
          <cell r="AC769" t="str">
            <v>2020023730</v>
          </cell>
        </row>
        <row r="770">
          <cell r="AC770" t="str">
            <v>2020023801</v>
          </cell>
        </row>
        <row r="771">
          <cell r="AC771" t="str">
            <v>2020024313</v>
          </cell>
        </row>
        <row r="771">
          <cell r="AN771" t="str">
            <v>已取得主管护师职称的考生加10分</v>
          </cell>
        </row>
        <row r="772">
          <cell r="AC772" t="str">
            <v>2020023902</v>
          </cell>
        </row>
        <row r="772">
          <cell r="AN772" t="str">
            <v>已取得主管护师职称的考生加10分</v>
          </cell>
        </row>
        <row r="773">
          <cell r="AC773" t="str">
            <v>2020024526</v>
          </cell>
        </row>
        <row r="773">
          <cell r="AN773" t="str">
            <v>已取得主管护师职称的考生加10分</v>
          </cell>
        </row>
        <row r="774">
          <cell r="AC774" t="str">
            <v>2020024217</v>
          </cell>
        </row>
        <row r="774">
          <cell r="AN774" t="str">
            <v>已取得主管护师职称的考生加10分</v>
          </cell>
        </row>
        <row r="775">
          <cell r="AC775" t="str">
            <v>2020023925</v>
          </cell>
        </row>
        <row r="775">
          <cell r="AN775" t="str">
            <v>已取得主管护师职称的考生加10分</v>
          </cell>
        </row>
        <row r="776">
          <cell r="AC776" t="str">
            <v>2020024501</v>
          </cell>
        </row>
        <row r="776">
          <cell r="AN776" t="str">
            <v>已取得主管护师职称的考生加10分</v>
          </cell>
        </row>
        <row r="777">
          <cell r="AC777" t="str">
            <v>2020024213</v>
          </cell>
        </row>
        <row r="777">
          <cell r="AN777" t="str">
            <v>已取得主管护师职称的考生加10分</v>
          </cell>
        </row>
        <row r="778">
          <cell r="AC778" t="str">
            <v>2020024110</v>
          </cell>
        </row>
        <row r="778">
          <cell r="AN778" t="str">
            <v>已取得主管护师职称的考生加10分</v>
          </cell>
        </row>
        <row r="779">
          <cell r="AC779" t="str">
            <v>2020024214</v>
          </cell>
        </row>
        <row r="779">
          <cell r="AN779" t="str">
            <v>已取得主管护师职称的考生加10分</v>
          </cell>
        </row>
        <row r="780">
          <cell r="AC780" t="str">
            <v>2020024521</v>
          </cell>
        </row>
        <row r="780">
          <cell r="AN780" t="str">
            <v>已取得主管护师职称的考生加10分</v>
          </cell>
        </row>
        <row r="781">
          <cell r="AC781" t="str">
            <v>2020024129</v>
          </cell>
        </row>
        <row r="781">
          <cell r="AN781" t="str">
            <v>已取得主管护师职称的考生加10分</v>
          </cell>
        </row>
        <row r="782">
          <cell r="AC782" t="str">
            <v>2020024224</v>
          </cell>
        </row>
        <row r="782">
          <cell r="AN782" t="str">
            <v>已取得主管护师职称的考生加10分</v>
          </cell>
        </row>
        <row r="783">
          <cell r="AC783" t="str">
            <v>2020024512</v>
          </cell>
        </row>
        <row r="783">
          <cell r="AN783" t="str">
            <v>已取得主管护师职称的考生加10分</v>
          </cell>
        </row>
        <row r="784">
          <cell r="AC784" t="str">
            <v>2020024619</v>
          </cell>
        </row>
        <row r="784">
          <cell r="AN784" t="str">
            <v>已取得主管护师职称的考生加10分</v>
          </cell>
        </row>
        <row r="785">
          <cell r="AC785" t="str">
            <v>2020024519</v>
          </cell>
        </row>
        <row r="785">
          <cell r="AN785" t="str">
            <v>已取得主管护师职称的考生加10分</v>
          </cell>
        </row>
        <row r="786">
          <cell r="AC786" t="str">
            <v>2020023914</v>
          </cell>
        </row>
        <row r="786">
          <cell r="AN786" t="str">
            <v>已取得主管护师职称的考生加10分</v>
          </cell>
        </row>
        <row r="787">
          <cell r="AC787" t="str">
            <v>2020024013</v>
          </cell>
        </row>
        <row r="788">
          <cell r="AC788" t="str">
            <v>2020024504</v>
          </cell>
        </row>
        <row r="788">
          <cell r="AN788" t="str">
            <v>已取得主管护师职称的考生加10分</v>
          </cell>
        </row>
        <row r="789">
          <cell r="AC789" t="str">
            <v>2020024121</v>
          </cell>
        </row>
        <row r="789">
          <cell r="AN789" t="str">
            <v>已取得主管护师职称的考生加10分</v>
          </cell>
        </row>
        <row r="790">
          <cell r="AC790" t="str">
            <v>2020024302</v>
          </cell>
        </row>
        <row r="791">
          <cell r="AC791" t="str">
            <v>2020024011</v>
          </cell>
        </row>
        <row r="791">
          <cell r="AN791" t="str">
            <v>已取得主管护师职称的考生加10分</v>
          </cell>
        </row>
        <row r="792">
          <cell r="AC792" t="str">
            <v>2020024613</v>
          </cell>
        </row>
        <row r="792">
          <cell r="AN792" t="str">
            <v>已取得主管护师职称的考生加10分</v>
          </cell>
        </row>
        <row r="793">
          <cell r="AC793" t="str">
            <v>2020024202</v>
          </cell>
        </row>
        <row r="793">
          <cell r="AN793" t="str">
            <v>已取得主管护师职称的考生加10分</v>
          </cell>
        </row>
        <row r="794">
          <cell r="AC794" t="str">
            <v>2020024206</v>
          </cell>
        </row>
        <row r="794">
          <cell r="AN794" t="str">
            <v>已取得主管护师职称的考生加10分</v>
          </cell>
        </row>
        <row r="795">
          <cell r="AC795" t="str">
            <v>2020024215</v>
          </cell>
        </row>
        <row r="795">
          <cell r="AN795" t="str">
            <v>已取得主管护师职称的考生加10分</v>
          </cell>
        </row>
        <row r="796">
          <cell r="AC796" t="str">
            <v>2020023814</v>
          </cell>
        </row>
        <row r="796">
          <cell r="AN796" t="str">
            <v>已取得主管护师职称的考生加10分</v>
          </cell>
        </row>
        <row r="797">
          <cell r="AC797" t="str">
            <v>2020024417</v>
          </cell>
        </row>
        <row r="797">
          <cell r="AN797" t="str">
            <v>已取得主管护师职称的考生加10分</v>
          </cell>
        </row>
        <row r="798">
          <cell r="AC798" t="str">
            <v>2020024525</v>
          </cell>
        </row>
        <row r="798">
          <cell r="AN798" t="str">
            <v>已取得主管护师职称的考生加10分</v>
          </cell>
        </row>
        <row r="799">
          <cell r="AC799" t="str">
            <v>2020023824</v>
          </cell>
        </row>
        <row r="800">
          <cell r="AC800" t="str">
            <v>2020024610</v>
          </cell>
        </row>
        <row r="801">
          <cell r="AC801" t="str">
            <v>2020024127</v>
          </cell>
        </row>
        <row r="801">
          <cell r="AN801" t="str">
            <v>已取得主管护师职称的考生加10分</v>
          </cell>
        </row>
        <row r="802">
          <cell r="AC802" t="str">
            <v>2020024510</v>
          </cell>
        </row>
        <row r="803">
          <cell r="AC803" t="str">
            <v>2020024312</v>
          </cell>
        </row>
        <row r="803">
          <cell r="AN803" t="str">
            <v>已取得主管护师职称的考生加10分</v>
          </cell>
        </row>
        <row r="804">
          <cell r="AC804" t="str">
            <v>2020024119</v>
          </cell>
        </row>
        <row r="805">
          <cell r="AC805" t="str">
            <v>2020023919</v>
          </cell>
        </row>
        <row r="806">
          <cell r="AC806" t="str">
            <v>2020024509</v>
          </cell>
        </row>
        <row r="807">
          <cell r="AC807" t="str">
            <v>2020023908</v>
          </cell>
        </row>
        <row r="807">
          <cell r="AN807" t="str">
            <v>已取得主管护师职称的考生加10分</v>
          </cell>
        </row>
        <row r="808">
          <cell r="AC808" t="str">
            <v>2020024414</v>
          </cell>
        </row>
        <row r="809">
          <cell r="AC809" t="str">
            <v>2020023924</v>
          </cell>
        </row>
        <row r="809">
          <cell r="AN809" t="str">
            <v>已取得主管护师职称的考生加10分</v>
          </cell>
        </row>
        <row r="810">
          <cell r="AC810" t="str">
            <v>2020024221</v>
          </cell>
        </row>
        <row r="810">
          <cell r="AN810" t="str">
            <v>已取得主管护师职称的考生加10分</v>
          </cell>
        </row>
        <row r="811">
          <cell r="AC811" t="str">
            <v>2020023819</v>
          </cell>
        </row>
        <row r="812">
          <cell r="AC812" t="str">
            <v>2020024128</v>
          </cell>
        </row>
        <row r="813">
          <cell r="AC813" t="str">
            <v>2020024008</v>
          </cell>
        </row>
        <row r="813">
          <cell r="AN813" t="str">
            <v>已取得主管护师职称的考生加10分</v>
          </cell>
        </row>
        <row r="814">
          <cell r="AC814" t="str">
            <v>2020024222</v>
          </cell>
        </row>
        <row r="814">
          <cell r="AN814" t="str">
            <v>已取得主管护师职称的考生加10分</v>
          </cell>
        </row>
        <row r="815">
          <cell r="AC815" t="str">
            <v>2020024029</v>
          </cell>
        </row>
        <row r="816">
          <cell r="AC816" t="str">
            <v>2020023803</v>
          </cell>
        </row>
        <row r="816">
          <cell r="AN816" t="str">
            <v>已取得主管护师职称的考生加10分</v>
          </cell>
        </row>
        <row r="817">
          <cell r="AC817" t="str">
            <v>2020023922</v>
          </cell>
        </row>
        <row r="817">
          <cell r="AN817" t="str">
            <v>已取得主管护师职称的考生加10分</v>
          </cell>
        </row>
        <row r="818">
          <cell r="AC818" t="str">
            <v>2020024615</v>
          </cell>
        </row>
        <row r="819">
          <cell r="AC819" t="str">
            <v>2020023820</v>
          </cell>
        </row>
        <row r="820">
          <cell r="AC820" t="str">
            <v>2020023907</v>
          </cell>
        </row>
        <row r="821">
          <cell r="AC821" t="str">
            <v>2020024621</v>
          </cell>
        </row>
        <row r="822">
          <cell r="AC822" t="str">
            <v>2020023807</v>
          </cell>
        </row>
        <row r="823">
          <cell r="AC823" t="str">
            <v>2020024212</v>
          </cell>
        </row>
        <row r="824">
          <cell r="AC824" t="str">
            <v>2020024114</v>
          </cell>
        </row>
        <row r="824">
          <cell r="AN824" t="str">
            <v>已取得主管护师职称的考生加10分</v>
          </cell>
        </row>
        <row r="825">
          <cell r="AC825" t="str">
            <v>2020024111</v>
          </cell>
        </row>
        <row r="825">
          <cell r="AN825" t="str">
            <v>已取得主管护师职称的考生加10分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tabSelected="1" workbookViewId="0">
      <selection activeCell="M11" sqref="M11"/>
    </sheetView>
  </sheetViews>
  <sheetFormatPr defaultColWidth="9" defaultRowHeight="14" outlineLevelCol="7"/>
  <cols>
    <col min="1" max="1" width="7.75454545454545" style="5" customWidth="1"/>
    <col min="2" max="2" width="30.8727272727273" style="6" customWidth="1"/>
    <col min="3" max="3" width="9" style="5"/>
    <col min="4" max="4" width="13.1272727272727" style="5" customWidth="1"/>
    <col min="5" max="7" width="9" style="5"/>
    <col min="8" max="8" width="24.6272727272727" style="19" customWidth="1"/>
    <col min="9" max="16384" width="9" style="4"/>
  </cols>
  <sheetData>
    <row r="1" ht="24.75" customHeight="1" spans="1:8">
      <c r="A1" s="1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20" t="s">
        <v>5</v>
      </c>
      <c r="G1" s="20" t="s">
        <v>6</v>
      </c>
      <c r="H1" s="19" t="s">
        <v>7</v>
      </c>
    </row>
    <row r="2" ht="31.5" customHeight="1" spans="1:8">
      <c r="A2" s="5">
        <v>1</v>
      </c>
      <c r="B2" s="6" t="s">
        <v>8</v>
      </c>
      <c r="C2" s="5" t="str">
        <f>"孟祥蒙"</f>
        <v>孟祥蒙</v>
      </c>
      <c r="D2" s="5" t="str">
        <f>"2020020925"</f>
        <v>2020020925</v>
      </c>
      <c r="E2" s="21">
        <v>68.2</v>
      </c>
      <c r="F2" s="5">
        <v>10</v>
      </c>
      <c r="G2" s="5">
        <f t="shared" ref="G2:G65" si="0">E2+F2</f>
        <v>78.2</v>
      </c>
      <c r="H2" s="22" t="s">
        <v>9</v>
      </c>
    </row>
    <row r="3" ht="25.5" customHeight="1" spans="1:7">
      <c r="A3" s="5">
        <v>2</v>
      </c>
      <c r="B3" s="6" t="s">
        <v>8</v>
      </c>
      <c r="C3" s="5" t="str">
        <f>"杨晓艺"</f>
        <v>杨晓艺</v>
      </c>
      <c r="D3" s="5" t="str">
        <f>"2020020703"</f>
        <v>2020020703</v>
      </c>
      <c r="E3" s="21">
        <v>73.8</v>
      </c>
      <c r="G3" s="5">
        <f t="shared" si="0"/>
        <v>73.8</v>
      </c>
    </row>
    <row r="4" ht="25.5" customHeight="1" spans="1:7">
      <c r="A4" s="5">
        <v>3</v>
      </c>
      <c r="B4" s="6" t="s">
        <v>8</v>
      </c>
      <c r="C4" s="5" t="str">
        <f>"丰叶钊"</f>
        <v>丰叶钊</v>
      </c>
      <c r="D4" s="5" t="str">
        <f>"2020020913"</f>
        <v>2020020913</v>
      </c>
      <c r="E4" s="21">
        <v>72.4</v>
      </c>
      <c r="G4" s="5">
        <f t="shared" si="0"/>
        <v>72.4</v>
      </c>
    </row>
    <row r="5" ht="33" customHeight="1" spans="1:8">
      <c r="A5" s="5">
        <v>4</v>
      </c>
      <c r="B5" s="6" t="s">
        <v>8</v>
      </c>
      <c r="C5" s="5" t="str">
        <f>"张盼盼"</f>
        <v>张盼盼</v>
      </c>
      <c r="D5" s="5" t="str">
        <f>"2020020812"</f>
        <v>2020020812</v>
      </c>
      <c r="E5" s="21">
        <v>61.2</v>
      </c>
      <c r="F5" s="5">
        <v>10</v>
      </c>
      <c r="G5" s="5">
        <f t="shared" si="0"/>
        <v>71.2</v>
      </c>
      <c r="H5" s="22" t="s">
        <v>9</v>
      </c>
    </row>
    <row r="6" ht="25.5" customHeight="1" spans="1:7">
      <c r="A6" s="5">
        <v>5</v>
      </c>
      <c r="B6" s="6" t="s">
        <v>8</v>
      </c>
      <c r="C6" s="5" t="str">
        <f>"赵圆圆"</f>
        <v>赵圆圆</v>
      </c>
      <c r="D6" s="5" t="str">
        <f>"2020020712"</f>
        <v>2020020712</v>
      </c>
      <c r="E6" s="21">
        <v>70.6</v>
      </c>
      <c r="G6" s="5">
        <f t="shared" si="0"/>
        <v>70.6</v>
      </c>
    </row>
    <row r="7" ht="25.5" customHeight="1" spans="1:7">
      <c r="A7" s="5">
        <v>6</v>
      </c>
      <c r="B7" s="6" t="s">
        <v>8</v>
      </c>
      <c r="C7" s="5" t="str">
        <f>"李瑜"</f>
        <v>李瑜</v>
      </c>
      <c r="D7" s="5" t="str">
        <f>"2020020603"</f>
        <v>2020020603</v>
      </c>
      <c r="E7" s="21">
        <v>70.4</v>
      </c>
      <c r="G7" s="5">
        <f t="shared" si="0"/>
        <v>70.4</v>
      </c>
    </row>
    <row r="8" ht="25.5" customHeight="1" spans="1:7">
      <c r="A8" s="5">
        <v>7</v>
      </c>
      <c r="B8" s="6" t="s">
        <v>8</v>
      </c>
      <c r="C8" s="5" t="str">
        <f>"侯小可"</f>
        <v>侯小可</v>
      </c>
      <c r="D8" s="5" t="str">
        <f>"2020020916"</f>
        <v>2020020916</v>
      </c>
      <c r="E8" s="21">
        <v>69.4</v>
      </c>
      <c r="G8" s="5">
        <f t="shared" si="0"/>
        <v>69.4</v>
      </c>
    </row>
    <row r="9" ht="25.5" customHeight="1" spans="1:7">
      <c r="A9" s="5">
        <v>8</v>
      </c>
      <c r="B9" s="6" t="s">
        <v>8</v>
      </c>
      <c r="C9" s="5" t="str">
        <f>"张晴"</f>
        <v>张晴</v>
      </c>
      <c r="D9" s="5" t="str">
        <f>"2020020718"</f>
        <v>2020020718</v>
      </c>
      <c r="E9" s="21">
        <v>68.6</v>
      </c>
      <c r="G9" s="5">
        <f t="shared" si="0"/>
        <v>68.6</v>
      </c>
    </row>
    <row r="10" ht="35.1" customHeight="1" spans="1:7">
      <c r="A10" s="5">
        <v>9</v>
      </c>
      <c r="B10" s="6" t="s">
        <v>8</v>
      </c>
      <c r="C10" s="5" t="str">
        <f>"马宇杰"</f>
        <v>马宇杰</v>
      </c>
      <c r="D10" s="5" t="str">
        <f>"2020020801"</f>
        <v>2020020801</v>
      </c>
      <c r="E10" s="21">
        <v>68.4</v>
      </c>
      <c r="G10" s="5">
        <f t="shared" si="0"/>
        <v>68.4</v>
      </c>
    </row>
    <row r="11" ht="25.5" customHeight="1" spans="1:7">
      <c r="A11" s="5">
        <v>10</v>
      </c>
      <c r="B11" s="6" t="s">
        <v>8</v>
      </c>
      <c r="C11" s="5" t="str">
        <f>"彭宪聪"</f>
        <v>彭宪聪</v>
      </c>
      <c r="D11" s="5" t="str">
        <f>"2020020807"</f>
        <v>2020020807</v>
      </c>
      <c r="E11" s="21">
        <v>68.4</v>
      </c>
      <c r="G11" s="5">
        <f t="shared" si="0"/>
        <v>68.4</v>
      </c>
    </row>
    <row r="12" ht="25.5" customHeight="1" spans="1:7">
      <c r="A12" s="5">
        <v>11</v>
      </c>
      <c r="B12" s="6" t="s">
        <v>8</v>
      </c>
      <c r="C12" s="5" t="str">
        <f>"严妍"</f>
        <v>严妍</v>
      </c>
      <c r="D12" s="5" t="str">
        <f>"2020020509"</f>
        <v>2020020509</v>
      </c>
      <c r="E12" s="21">
        <v>67.4</v>
      </c>
      <c r="G12" s="5">
        <f t="shared" si="0"/>
        <v>67.4</v>
      </c>
    </row>
    <row r="13" ht="25.5" customHeight="1" spans="1:7">
      <c r="A13" s="5">
        <v>12</v>
      </c>
      <c r="B13" s="6" t="s">
        <v>8</v>
      </c>
      <c r="C13" s="5" t="str">
        <f>"刘志成"</f>
        <v>刘志成</v>
      </c>
      <c r="D13" s="5" t="str">
        <f>"2020020607"</f>
        <v>2020020607</v>
      </c>
      <c r="E13" s="21">
        <v>66.4</v>
      </c>
      <c r="G13" s="5">
        <f t="shared" si="0"/>
        <v>66.4</v>
      </c>
    </row>
    <row r="14" ht="25.5" customHeight="1" spans="1:7">
      <c r="A14" s="5">
        <v>13</v>
      </c>
      <c r="B14" s="6" t="s">
        <v>8</v>
      </c>
      <c r="C14" s="5" t="str">
        <f>"李宇轩"</f>
        <v>李宇轩</v>
      </c>
      <c r="D14" s="5" t="str">
        <f>"2020020622"</f>
        <v>2020020622</v>
      </c>
      <c r="E14" s="21">
        <v>66.4</v>
      </c>
      <c r="G14" s="5">
        <f t="shared" si="0"/>
        <v>66.4</v>
      </c>
    </row>
    <row r="15" ht="25.5" customHeight="1" spans="1:7">
      <c r="A15" s="5">
        <v>14</v>
      </c>
      <c r="B15" s="6" t="s">
        <v>8</v>
      </c>
      <c r="C15" s="5" t="str">
        <f>"贾雨薇"</f>
        <v>贾雨薇</v>
      </c>
      <c r="D15" s="5" t="str">
        <f>"2020020811"</f>
        <v>2020020811</v>
      </c>
      <c r="E15" s="21">
        <v>66.2</v>
      </c>
      <c r="G15" s="5">
        <f t="shared" si="0"/>
        <v>66.2</v>
      </c>
    </row>
    <row r="16" ht="25.5" customHeight="1" spans="1:7">
      <c r="A16" s="5">
        <v>15</v>
      </c>
      <c r="B16" s="6" t="s">
        <v>8</v>
      </c>
      <c r="C16" s="5" t="str">
        <f>"李苗"</f>
        <v>李苗</v>
      </c>
      <c r="D16" s="5" t="str">
        <f>"2020020618"</f>
        <v>2020020618</v>
      </c>
      <c r="E16" s="21">
        <v>65.4</v>
      </c>
      <c r="G16" s="5">
        <f t="shared" si="0"/>
        <v>65.4</v>
      </c>
    </row>
    <row r="17" ht="25.5" customHeight="1" spans="1:7">
      <c r="A17" s="5">
        <v>16</v>
      </c>
      <c r="B17" s="6" t="s">
        <v>8</v>
      </c>
      <c r="C17" s="5" t="str">
        <f>"王毛毛"</f>
        <v>王毛毛</v>
      </c>
      <c r="D17" s="5" t="str">
        <f>"2020020722"</f>
        <v>2020020722</v>
      </c>
      <c r="E17" s="21">
        <v>65.4</v>
      </c>
      <c r="G17" s="5">
        <f t="shared" si="0"/>
        <v>65.4</v>
      </c>
    </row>
    <row r="18" ht="25.5" customHeight="1" spans="1:7">
      <c r="A18" s="5">
        <v>17</v>
      </c>
      <c r="B18" s="6" t="s">
        <v>8</v>
      </c>
      <c r="C18" s="5" t="str">
        <f>"李金杨"</f>
        <v>李金杨</v>
      </c>
      <c r="D18" s="5" t="str">
        <f>"2020020817"</f>
        <v>2020020817</v>
      </c>
      <c r="E18" s="21">
        <v>65.4</v>
      </c>
      <c r="G18" s="5">
        <f t="shared" si="0"/>
        <v>65.4</v>
      </c>
    </row>
    <row r="19" ht="25.5" customHeight="1" spans="1:7">
      <c r="A19" s="5">
        <v>18</v>
      </c>
      <c r="B19" s="6" t="s">
        <v>8</v>
      </c>
      <c r="C19" s="5" t="str">
        <f>"贾晨曦"</f>
        <v>贾晨曦</v>
      </c>
      <c r="D19" s="5" t="str">
        <f>"2020020512"</f>
        <v>2020020512</v>
      </c>
      <c r="E19" s="21">
        <v>65.2</v>
      </c>
      <c r="G19" s="5">
        <f t="shared" si="0"/>
        <v>65.2</v>
      </c>
    </row>
    <row r="20" ht="25.5" customHeight="1" spans="1:7">
      <c r="A20" s="5">
        <v>19</v>
      </c>
      <c r="B20" s="6" t="s">
        <v>8</v>
      </c>
      <c r="C20" s="5" t="str">
        <f>"宋小蒙"</f>
        <v>宋小蒙</v>
      </c>
      <c r="D20" s="5" t="str">
        <f>"2020020625"</f>
        <v>2020020625</v>
      </c>
      <c r="E20" s="21">
        <v>64.4</v>
      </c>
      <c r="G20" s="5">
        <f t="shared" si="0"/>
        <v>64.4</v>
      </c>
    </row>
    <row r="21" ht="25.5" customHeight="1" spans="1:7">
      <c r="A21" s="5">
        <v>20</v>
      </c>
      <c r="B21" s="6" t="s">
        <v>8</v>
      </c>
      <c r="C21" s="5" t="str">
        <f>"陆丰艺"</f>
        <v>陆丰艺</v>
      </c>
      <c r="D21" s="5" t="str">
        <f>"2020020802"</f>
        <v>2020020802</v>
      </c>
      <c r="E21" s="21">
        <v>64.2</v>
      </c>
      <c r="G21" s="5">
        <f t="shared" si="0"/>
        <v>64.2</v>
      </c>
    </row>
    <row r="22" ht="25.5" customHeight="1" spans="1:7">
      <c r="A22" s="5">
        <v>21</v>
      </c>
      <c r="B22" s="6" t="s">
        <v>8</v>
      </c>
      <c r="C22" s="5" t="str">
        <f>"曾瑞"</f>
        <v>曾瑞</v>
      </c>
      <c r="D22" s="5" t="str">
        <f>"2020020804"</f>
        <v>2020020804</v>
      </c>
      <c r="E22" s="21">
        <v>64.2</v>
      </c>
      <c r="G22" s="5">
        <f t="shared" si="0"/>
        <v>64.2</v>
      </c>
    </row>
    <row r="23" ht="25.5" customHeight="1" spans="1:7">
      <c r="A23" s="5">
        <v>22</v>
      </c>
      <c r="B23" s="6" t="s">
        <v>8</v>
      </c>
      <c r="C23" s="5" t="str">
        <f>"余彬"</f>
        <v>余彬</v>
      </c>
      <c r="D23" s="5" t="str">
        <f>"2020020513"</f>
        <v>2020020513</v>
      </c>
      <c r="E23" s="21">
        <v>63.4</v>
      </c>
      <c r="G23" s="5">
        <f t="shared" si="0"/>
        <v>63.4</v>
      </c>
    </row>
    <row r="24" ht="25.5" customHeight="1" spans="1:7">
      <c r="A24" s="5">
        <v>23</v>
      </c>
      <c r="B24" s="6" t="s">
        <v>8</v>
      </c>
      <c r="C24" s="5" t="str">
        <f>"郭欣"</f>
        <v>郭欣</v>
      </c>
      <c r="D24" s="5" t="str">
        <f>"2020020520"</f>
        <v>2020020520</v>
      </c>
      <c r="E24" s="21">
        <v>63.2</v>
      </c>
      <c r="G24" s="5">
        <f t="shared" si="0"/>
        <v>63.2</v>
      </c>
    </row>
    <row r="25" ht="25.5" customHeight="1" spans="1:7">
      <c r="A25" s="5">
        <v>24</v>
      </c>
      <c r="B25" s="6" t="s">
        <v>8</v>
      </c>
      <c r="C25" s="5" t="str">
        <f>"王萍"</f>
        <v>王萍</v>
      </c>
      <c r="D25" s="5" t="str">
        <f>"2020020518"</f>
        <v>2020020518</v>
      </c>
      <c r="E25" s="21">
        <v>62.2</v>
      </c>
      <c r="G25" s="5">
        <f t="shared" si="0"/>
        <v>62.2</v>
      </c>
    </row>
    <row r="26" ht="25.5" customHeight="1" spans="1:7">
      <c r="A26" s="5">
        <v>25</v>
      </c>
      <c r="B26" s="6" t="s">
        <v>8</v>
      </c>
      <c r="C26" s="5" t="str">
        <f>"刘娜"</f>
        <v>刘娜</v>
      </c>
      <c r="D26" s="5" t="str">
        <f>"2020020825"</f>
        <v>2020020825</v>
      </c>
      <c r="E26" s="21">
        <v>62</v>
      </c>
      <c r="G26" s="5">
        <f t="shared" si="0"/>
        <v>62</v>
      </c>
    </row>
    <row r="27" ht="25.5" customHeight="1" spans="1:7">
      <c r="A27" s="5">
        <v>26</v>
      </c>
      <c r="B27" s="6" t="s">
        <v>8</v>
      </c>
      <c r="C27" s="5" t="str">
        <f>"张晓玲"</f>
        <v>张晓玲</v>
      </c>
      <c r="D27" s="5" t="str">
        <f>"2020020814"</f>
        <v>2020020814</v>
      </c>
      <c r="E27" s="21">
        <v>61.4</v>
      </c>
      <c r="G27" s="5">
        <f t="shared" si="0"/>
        <v>61.4</v>
      </c>
    </row>
    <row r="28" ht="25.5" customHeight="1" spans="1:7">
      <c r="A28" s="5">
        <v>27</v>
      </c>
      <c r="B28" s="6" t="s">
        <v>8</v>
      </c>
      <c r="C28" s="5" t="str">
        <f>"张茂喜"</f>
        <v>张茂喜</v>
      </c>
      <c r="D28" s="5" t="str">
        <f>"2020020628"</f>
        <v>2020020628</v>
      </c>
      <c r="E28" s="21">
        <v>61.2</v>
      </c>
      <c r="G28" s="5">
        <f t="shared" si="0"/>
        <v>61.2</v>
      </c>
    </row>
    <row r="29" ht="25.5" customHeight="1" spans="1:7">
      <c r="A29" s="5">
        <v>28</v>
      </c>
      <c r="B29" s="6" t="s">
        <v>8</v>
      </c>
      <c r="C29" s="5" t="str">
        <f>"朱钊远"</f>
        <v>朱钊远</v>
      </c>
      <c r="D29" s="5" t="str">
        <f>"2020020927"</f>
        <v>2020020927</v>
      </c>
      <c r="E29" s="21">
        <v>61.2</v>
      </c>
      <c r="G29" s="5">
        <f t="shared" si="0"/>
        <v>61.2</v>
      </c>
    </row>
    <row r="30" ht="25.5" customHeight="1" spans="1:7">
      <c r="A30" s="5">
        <v>29</v>
      </c>
      <c r="B30" s="6" t="s">
        <v>8</v>
      </c>
      <c r="C30" s="5" t="str">
        <f>"孙柔柔"</f>
        <v>孙柔柔</v>
      </c>
      <c r="D30" s="5" t="str">
        <f>"2020020923"</f>
        <v>2020020923</v>
      </c>
      <c r="E30" s="21">
        <v>60.6</v>
      </c>
      <c r="G30" s="5">
        <f t="shared" si="0"/>
        <v>60.6</v>
      </c>
    </row>
    <row r="31" ht="25.5" customHeight="1" spans="1:7">
      <c r="A31" s="5">
        <v>30</v>
      </c>
      <c r="B31" s="6" t="s">
        <v>8</v>
      </c>
      <c r="C31" s="5" t="str">
        <f>"钱进"</f>
        <v>钱进</v>
      </c>
      <c r="D31" s="5" t="str">
        <f>"2020020519"</f>
        <v>2020020519</v>
      </c>
      <c r="E31" s="21">
        <v>60.4</v>
      </c>
      <c r="G31" s="5">
        <f t="shared" si="0"/>
        <v>60.4</v>
      </c>
    </row>
    <row r="32" ht="25.5" customHeight="1" spans="1:7">
      <c r="A32" s="5">
        <v>31</v>
      </c>
      <c r="B32" s="6" t="s">
        <v>8</v>
      </c>
      <c r="C32" s="5" t="str">
        <f>"蒋曦"</f>
        <v>蒋曦</v>
      </c>
      <c r="D32" s="5" t="str">
        <f>"2020020605"</f>
        <v>2020020605</v>
      </c>
      <c r="E32" s="21">
        <v>60.4</v>
      </c>
      <c r="G32" s="5">
        <f t="shared" si="0"/>
        <v>60.4</v>
      </c>
    </row>
    <row r="33" ht="25.5" customHeight="1" spans="1:7">
      <c r="A33" s="5">
        <v>32</v>
      </c>
      <c r="B33" s="6" t="s">
        <v>8</v>
      </c>
      <c r="C33" s="5" t="str">
        <f>"屠文龙"</f>
        <v>屠文龙</v>
      </c>
      <c r="D33" s="5" t="str">
        <f>"2020020503"</f>
        <v>2020020503</v>
      </c>
      <c r="E33" s="21">
        <v>59.4</v>
      </c>
      <c r="G33" s="5">
        <f t="shared" si="0"/>
        <v>59.4</v>
      </c>
    </row>
    <row r="34" ht="25.5" customHeight="1" spans="1:7">
      <c r="A34" s="5">
        <v>33</v>
      </c>
      <c r="B34" s="6" t="s">
        <v>8</v>
      </c>
      <c r="C34" s="5" t="str">
        <f>"豆雪晴"</f>
        <v>豆雪晴</v>
      </c>
      <c r="D34" s="5" t="str">
        <f>"2020020823"</f>
        <v>2020020823</v>
      </c>
      <c r="E34" s="21">
        <v>59.4</v>
      </c>
      <c r="G34" s="5">
        <f t="shared" si="0"/>
        <v>59.4</v>
      </c>
    </row>
    <row r="35" ht="25.5" customHeight="1" spans="1:7">
      <c r="A35" s="5">
        <v>34</v>
      </c>
      <c r="B35" s="6" t="s">
        <v>8</v>
      </c>
      <c r="C35" s="5" t="str">
        <f>"李希文"</f>
        <v>李希文</v>
      </c>
      <c r="D35" s="5" t="str">
        <f>"2020022805"</f>
        <v>2020022805</v>
      </c>
      <c r="E35" s="21">
        <v>59</v>
      </c>
      <c r="G35" s="5">
        <f t="shared" si="0"/>
        <v>59</v>
      </c>
    </row>
    <row r="36" ht="25.5" customHeight="1" spans="1:7">
      <c r="A36" s="5">
        <v>35</v>
      </c>
      <c r="B36" s="6" t="s">
        <v>8</v>
      </c>
      <c r="C36" s="5" t="str">
        <f>"李兵兵"</f>
        <v>李兵兵</v>
      </c>
      <c r="D36" s="5" t="str">
        <f>"2020020614"</f>
        <v>2020020614</v>
      </c>
      <c r="E36" s="21">
        <v>58.4</v>
      </c>
      <c r="G36" s="5">
        <f t="shared" si="0"/>
        <v>58.4</v>
      </c>
    </row>
    <row r="37" ht="25.5" customHeight="1" spans="1:7">
      <c r="A37" s="5">
        <v>36</v>
      </c>
      <c r="B37" s="6" t="s">
        <v>8</v>
      </c>
      <c r="C37" s="5" t="str">
        <f>"李威"</f>
        <v>李威</v>
      </c>
      <c r="D37" s="5" t="str">
        <f>"2020020908"</f>
        <v>2020020908</v>
      </c>
      <c r="E37" s="21">
        <v>58.4</v>
      </c>
      <c r="G37" s="5">
        <f t="shared" si="0"/>
        <v>58.4</v>
      </c>
    </row>
    <row r="38" ht="25.5" customHeight="1" spans="1:7">
      <c r="A38" s="5">
        <v>37</v>
      </c>
      <c r="B38" s="6" t="s">
        <v>8</v>
      </c>
      <c r="C38" s="5" t="str">
        <f>"袁雨露"</f>
        <v>袁雨露</v>
      </c>
      <c r="D38" s="5" t="str">
        <f>"2020020903"</f>
        <v>2020020903</v>
      </c>
      <c r="E38" s="21">
        <v>58.2</v>
      </c>
      <c r="G38" s="5">
        <f t="shared" si="0"/>
        <v>58.2</v>
      </c>
    </row>
    <row r="39" ht="25.5" customHeight="1" spans="1:7">
      <c r="A39" s="5">
        <v>38</v>
      </c>
      <c r="B39" s="6" t="s">
        <v>8</v>
      </c>
      <c r="C39" s="5" t="str">
        <f>"南晓剑"</f>
        <v>南晓剑</v>
      </c>
      <c r="D39" s="5" t="str">
        <f>"2020020709"</f>
        <v>2020020709</v>
      </c>
      <c r="E39" s="21">
        <v>56.4</v>
      </c>
      <c r="G39" s="5">
        <f t="shared" si="0"/>
        <v>56.4</v>
      </c>
    </row>
    <row r="40" ht="25.5" customHeight="1" spans="1:7">
      <c r="A40" s="5">
        <v>1</v>
      </c>
      <c r="B40" s="6" t="s">
        <v>10</v>
      </c>
      <c r="C40" s="5" t="str">
        <f>"徐韧"</f>
        <v>徐韧</v>
      </c>
      <c r="D40" s="5" t="str">
        <f>"2020020101"</f>
        <v>2020020101</v>
      </c>
      <c r="E40" s="21">
        <v>78.4</v>
      </c>
      <c r="G40" s="5">
        <f t="shared" si="0"/>
        <v>78.4</v>
      </c>
    </row>
    <row r="41" ht="25.5" customHeight="1" spans="1:7">
      <c r="A41" s="5">
        <v>2</v>
      </c>
      <c r="B41" s="6" t="s">
        <v>10</v>
      </c>
      <c r="C41" s="5" t="str">
        <f>"张峰"</f>
        <v>张峰</v>
      </c>
      <c r="D41" s="5" t="str">
        <f>"2020020104"</f>
        <v>2020020104</v>
      </c>
      <c r="E41" s="21">
        <v>77.6</v>
      </c>
      <c r="G41" s="5">
        <f t="shared" si="0"/>
        <v>77.6</v>
      </c>
    </row>
    <row r="42" ht="25.5" customHeight="1" spans="1:7">
      <c r="A42" s="5">
        <v>1</v>
      </c>
      <c r="B42" s="6" t="s">
        <v>11</v>
      </c>
      <c r="C42" s="5" t="str">
        <f>"陈天维"</f>
        <v>陈天维</v>
      </c>
      <c r="D42" s="5" t="str">
        <f>"2020020412"</f>
        <v>2020020412</v>
      </c>
      <c r="E42" s="21">
        <v>84</v>
      </c>
      <c r="G42" s="5">
        <f t="shared" si="0"/>
        <v>84</v>
      </c>
    </row>
    <row r="43" ht="25.5" customHeight="1" spans="1:7">
      <c r="A43" s="5">
        <v>2</v>
      </c>
      <c r="B43" s="6" t="s">
        <v>11</v>
      </c>
      <c r="C43" s="5" t="str">
        <f>"张湛昊"</f>
        <v>张湛昊</v>
      </c>
      <c r="D43" s="5" t="str">
        <f>"2020020402"</f>
        <v>2020020402</v>
      </c>
      <c r="E43" s="21">
        <v>82.8</v>
      </c>
      <c r="G43" s="5">
        <f t="shared" si="0"/>
        <v>82.8</v>
      </c>
    </row>
    <row r="44" ht="25.5" customHeight="1" spans="1:7">
      <c r="A44" s="5">
        <v>1</v>
      </c>
      <c r="B44" s="6" t="s">
        <v>12</v>
      </c>
      <c r="C44" s="5" t="str">
        <f>"李方"</f>
        <v>李方</v>
      </c>
      <c r="D44" s="5" t="str">
        <f>"2020023206"</f>
        <v>2020023206</v>
      </c>
      <c r="E44" s="21">
        <v>77.2</v>
      </c>
      <c r="G44" s="5">
        <f t="shared" si="0"/>
        <v>77.2</v>
      </c>
    </row>
    <row r="45" ht="25.5" customHeight="1" spans="1:7">
      <c r="A45" s="5">
        <v>2</v>
      </c>
      <c r="B45" s="6" t="s">
        <v>12</v>
      </c>
      <c r="C45" s="5" t="str">
        <f>"毛立科"</f>
        <v>毛立科</v>
      </c>
      <c r="D45" s="5" t="str">
        <f>"2020022703"</f>
        <v>2020022703</v>
      </c>
      <c r="E45" s="21">
        <v>74.4</v>
      </c>
      <c r="G45" s="5">
        <f t="shared" si="0"/>
        <v>74.4</v>
      </c>
    </row>
    <row r="46" ht="25.5" customHeight="1" spans="1:7">
      <c r="A46" s="5">
        <v>3</v>
      </c>
      <c r="B46" s="6" t="s">
        <v>12</v>
      </c>
      <c r="C46" s="5" t="str">
        <f>"孙欣欣"</f>
        <v>孙欣欣</v>
      </c>
      <c r="D46" s="5" t="str">
        <f>"2020022730"</f>
        <v>2020022730</v>
      </c>
      <c r="E46" s="21">
        <v>74.4</v>
      </c>
      <c r="G46" s="5">
        <f t="shared" si="0"/>
        <v>74.4</v>
      </c>
    </row>
    <row r="47" ht="25.5" customHeight="1" spans="1:7">
      <c r="A47" s="5">
        <v>4</v>
      </c>
      <c r="B47" s="6" t="s">
        <v>12</v>
      </c>
      <c r="C47" s="5" t="str">
        <f>"黄柯柯"</f>
        <v>黄柯柯</v>
      </c>
      <c r="D47" s="5" t="str">
        <f>"2020023202"</f>
        <v>2020023202</v>
      </c>
      <c r="E47" s="21">
        <v>73.2</v>
      </c>
      <c r="G47" s="5">
        <f t="shared" si="0"/>
        <v>73.2</v>
      </c>
    </row>
    <row r="48" ht="25.5" customHeight="1" spans="1:7">
      <c r="A48" s="5">
        <v>5</v>
      </c>
      <c r="B48" s="6" t="s">
        <v>12</v>
      </c>
      <c r="C48" s="5" t="str">
        <f>"陈亮"</f>
        <v>陈亮</v>
      </c>
      <c r="D48" s="5" t="str">
        <f>"2020022721"</f>
        <v>2020022721</v>
      </c>
      <c r="E48" s="21">
        <v>72.6</v>
      </c>
      <c r="G48" s="5">
        <f t="shared" si="0"/>
        <v>72.6</v>
      </c>
    </row>
    <row r="49" ht="25.5" customHeight="1" spans="1:7">
      <c r="A49" s="5">
        <v>6</v>
      </c>
      <c r="B49" s="6" t="s">
        <v>12</v>
      </c>
      <c r="C49" s="5" t="str">
        <f>"高冬冬"</f>
        <v>高冬冬</v>
      </c>
      <c r="D49" s="5" t="str">
        <f>"2020022602"</f>
        <v>2020022602</v>
      </c>
      <c r="E49" s="21">
        <v>72.4</v>
      </c>
      <c r="G49" s="5">
        <f t="shared" si="0"/>
        <v>72.4</v>
      </c>
    </row>
    <row r="50" ht="25.5" customHeight="1" spans="1:7">
      <c r="A50" s="5">
        <v>7</v>
      </c>
      <c r="B50" s="6" t="s">
        <v>12</v>
      </c>
      <c r="C50" s="5" t="str">
        <f>"康媛"</f>
        <v>康媛</v>
      </c>
      <c r="D50" s="5" t="str">
        <f>"2020022622"</f>
        <v>2020022622</v>
      </c>
      <c r="E50" s="21">
        <v>72.4</v>
      </c>
      <c r="G50" s="5">
        <f t="shared" si="0"/>
        <v>72.4</v>
      </c>
    </row>
    <row r="51" ht="25.5" customHeight="1" spans="1:7">
      <c r="A51" s="5">
        <v>8</v>
      </c>
      <c r="B51" s="6" t="s">
        <v>12</v>
      </c>
      <c r="C51" s="5" t="str">
        <f>"贾梦琪"</f>
        <v>贾梦琪</v>
      </c>
      <c r="D51" s="5" t="str">
        <f>"2020022707"</f>
        <v>2020022707</v>
      </c>
      <c r="E51" s="21">
        <v>71.6</v>
      </c>
      <c r="G51" s="5">
        <f t="shared" si="0"/>
        <v>71.6</v>
      </c>
    </row>
    <row r="52" ht="25.5" customHeight="1" spans="1:7">
      <c r="A52" s="5">
        <v>9</v>
      </c>
      <c r="B52" s="6" t="s">
        <v>12</v>
      </c>
      <c r="C52" s="5" t="str">
        <f>"刘志圣"</f>
        <v>刘志圣</v>
      </c>
      <c r="D52" s="5" t="str">
        <f>"2020022727"</f>
        <v>2020022727</v>
      </c>
      <c r="E52" s="21">
        <v>70.4</v>
      </c>
      <c r="G52" s="5">
        <f t="shared" si="0"/>
        <v>70.4</v>
      </c>
    </row>
    <row r="53" ht="25.5" customHeight="1" spans="1:7">
      <c r="A53" s="5">
        <v>10</v>
      </c>
      <c r="B53" s="6" t="s">
        <v>12</v>
      </c>
      <c r="C53" s="5" t="str">
        <f>"吴晓芳"</f>
        <v>吴晓芳</v>
      </c>
      <c r="D53" s="5" t="str">
        <f>"2020022608"</f>
        <v>2020022608</v>
      </c>
      <c r="E53" s="21">
        <v>67.6</v>
      </c>
      <c r="G53" s="5">
        <f t="shared" si="0"/>
        <v>67.6</v>
      </c>
    </row>
    <row r="54" ht="25.5" customHeight="1" spans="1:7">
      <c r="A54" s="5">
        <v>11</v>
      </c>
      <c r="B54" s="6" t="s">
        <v>12</v>
      </c>
      <c r="C54" s="5" t="str">
        <f>"胡紫薇"</f>
        <v>胡紫薇</v>
      </c>
      <c r="D54" s="5" t="str">
        <f>"2020022618"</f>
        <v>2020022618</v>
      </c>
      <c r="E54" s="21">
        <v>67.6</v>
      </c>
      <c r="G54" s="5">
        <f t="shared" si="0"/>
        <v>67.6</v>
      </c>
    </row>
    <row r="55" ht="25.5" customHeight="1" spans="1:7">
      <c r="A55" s="5">
        <v>12</v>
      </c>
      <c r="B55" s="6" t="s">
        <v>12</v>
      </c>
      <c r="C55" s="5" t="str">
        <f>"王如梦"</f>
        <v>王如梦</v>
      </c>
      <c r="D55" s="5" t="str">
        <f>"2020022610"</f>
        <v>2020022610</v>
      </c>
      <c r="E55" s="21">
        <v>66.6</v>
      </c>
      <c r="G55" s="5">
        <f t="shared" si="0"/>
        <v>66.6</v>
      </c>
    </row>
    <row r="56" ht="25.5" customHeight="1" spans="1:7">
      <c r="A56" s="5">
        <v>1</v>
      </c>
      <c r="B56" s="6" t="s">
        <v>13</v>
      </c>
      <c r="C56" s="5" t="str">
        <f>"任明雪"</f>
        <v>任明雪</v>
      </c>
      <c r="D56" s="5" t="str">
        <f>"2020021115"</f>
        <v>2020021115</v>
      </c>
      <c r="E56" s="21">
        <v>72.4</v>
      </c>
      <c r="G56" s="5">
        <f t="shared" si="0"/>
        <v>72.4</v>
      </c>
    </row>
    <row r="57" ht="25.5" customHeight="1" spans="1:7">
      <c r="A57" s="5">
        <v>2</v>
      </c>
      <c r="B57" s="6" t="s">
        <v>13</v>
      </c>
      <c r="C57" s="5" t="str">
        <f>"闫小波"</f>
        <v>闫小波</v>
      </c>
      <c r="D57" s="5" t="str">
        <f>"2020021129"</f>
        <v>2020021129</v>
      </c>
      <c r="E57" s="21">
        <v>71.6</v>
      </c>
      <c r="G57" s="5">
        <f t="shared" si="0"/>
        <v>71.6</v>
      </c>
    </row>
    <row r="58" ht="25.5" customHeight="1" spans="1:7">
      <c r="A58" s="5">
        <v>1</v>
      </c>
      <c r="B58" s="6" t="s">
        <v>14</v>
      </c>
      <c r="C58" s="5" t="str">
        <f>"王莉"</f>
        <v>王莉</v>
      </c>
      <c r="D58" s="5" t="str">
        <f>"2020021403"</f>
        <v>2020021403</v>
      </c>
      <c r="E58" s="21">
        <v>83.4</v>
      </c>
      <c r="G58" s="5">
        <f t="shared" si="0"/>
        <v>83.4</v>
      </c>
    </row>
    <row r="59" ht="34.5" customHeight="1" spans="1:8">
      <c r="A59" s="5">
        <v>2</v>
      </c>
      <c r="B59" s="6" t="s">
        <v>14</v>
      </c>
      <c r="C59" s="5" t="str">
        <f>"孙珂"</f>
        <v>孙珂</v>
      </c>
      <c r="D59" s="5" t="str">
        <f>"2020021408"</f>
        <v>2020021408</v>
      </c>
      <c r="E59" s="21">
        <v>70.8</v>
      </c>
      <c r="F59" s="5">
        <v>10</v>
      </c>
      <c r="G59" s="5">
        <f t="shared" si="0"/>
        <v>80.8</v>
      </c>
      <c r="H59" s="22" t="s">
        <v>9</v>
      </c>
    </row>
    <row r="60" ht="25.5" customHeight="1" spans="1:7">
      <c r="A60" s="5">
        <v>3</v>
      </c>
      <c r="B60" s="6" t="s">
        <v>14</v>
      </c>
      <c r="C60" s="5" t="str">
        <f>"张曼曼"</f>
        <v>张曼曼</v>
      </c>
      <c r="D60" s="5" t="str">
        <f>"2020021212"</f>
        <v>2020021212</v>
      </c>
      <c r="E60" s="21">
        <v>79.6</v>
      </c>
      <c r="G60" s="5">
        <f t="shared" si="0"/>
        <v>79.6</v>
      </c>
    </row>
    <row r="61" ht="25.5" customHeight="1" spans="1:7">
      <c r="A61" s="5">
        <v>4</v>
      </c>
      <c r="B61" s="6" t="s">
        <v>14</v>
      </c>
      <c r="C61" s="5" t="str">
        <f>"王南南"</f>
        <v>王南南</v>
      </c>
      <c r="D61" s="5" t="str">
        <f>"2020021329"</f>
        <v>2020021329</v>
      </c>
      <c r="E61" s="21">
        <v>77.8</v>
      </c>
      <c r="G61" s="5">
        <f t="shared" si="0"/>
        <v>77.8</v>
      </c>
    </row>
    <row r="62" ht="25.5" customHeight="1" spans="1:7">
      <c r="A62" s="5">
        <v>5</v>
      </c>
      <c r="B62" s="6" t="s">
        <v>14</v>
      </c>
      <c r="C62" s="5" t="str">
        <f>"洪杰"</f>
        <v>洪杰</v>
      </c>
      <c r="D62" s="5" t="str">
        <f>"2020021222"</f>
        <v>2020021222</v>
      </c>
      <c r="E62" s="21">
        <v>76.8</v>
      </c>
      <c r="G62" s="5">
        <f t="shared" si="0"/>
        <v>76.8</v>
      </c>
    </row>
    <row r="63" ht="25.5" customHeight="1" spans="1:7">
      <c r="A63" s="5">
        <v>6</v>
      </c>
      <c r="B63" s="6" t="s">
        <v>14</v>
      </c>
      <c r="C63" s="5" t="str">
        <f>"宋冬昱"</f>
        <v>宋冬昱</v>
      </c>
      <c r="D63" s="5" t="str">
        <f>"2020021224"</f>
        <v>2020021224</v>
      </c>
      <c r="E63" s="21">
        <v>75.6</v>
      </c>
      <c r="G63" s="5">
        <f t="shared" si="0"/>
        <v>75.6</v>
      </c>
    </row>
    <row r="64" ht="25.5" customHeight="1" spans="1:7">
      <c r="A64" s="5">
        <v>7</v>
      </c>
      <c r="B64" s="6" t="s">
        <v>14</v>
      </c>
      <c r="C64" s="5" t="str">
        <f>"陈荣慧"</f>
        <v>陈荣慧</v>
      </c>
      <c r="D64" s="5" t="str">
        <f>"2020021227"</f>
        <v>2020021227</v>
      </c>
      <c r="E64" s="21">
        <v>75.6</v>
      </c>
      <c r="G64" s="5">
        <f t="shared" si="0"/>
        <v>75.6</v>
      </c>
    </row>
    <row r="65" ht="25.5" customHeight="1" spans="1:7">
      <c r="A65" s="5">
        <v>8</v>
      </c>
      <c r="B65" s="6" t="s">
        <v>14</v>
      </c>
      <c r="C65" s="5" t="str">
        <f>"陈溪"</f>
        <v>陈溪</v>
      </c>
      <c r="D65" s="5" t="str">
        <f>"2020021204"</f>
        <v>2020021204</v>
      </c>
      <c r="E65" s="21">
        <v>73.8</v>
      </c>
      <c r="G65" s="5">
        <f t="shared" si="0"/>
        <v>73.8</v>
      </c>
    </row>
    <row r="66" ht="25.5" customHeight="1" spans="1:7">
      <c r="A66" s="5">
        <v>9</v>
      </c>
      <c r="B66" s="6" t="s">
        <v>14</v>
      </c>
      <c r="C66" s="5" t="str">
        <f>"王润萌"</f>
        <v>王润萌</v>
      </c>
      <c r="D66" s="5" t="str">
        <f>"2020021221"</f>
        <v>2020021221</v>
      </c>
      <c r="E66" s="21">
        <v>73.8</v>
      </c>
      <c r="G66" s="5">
        <f t="shared" ref="G66:G76" si="1">E66+F66</f>
        <v>73.8</v>
      </c>
    </row>
    <row r="67" ht="25.5" customHeight="1" spans="1:7">
      <c r="A67" s="5">
        <v>10</v>
      </c>
      <c r="B67" s="6" t="s">
        <v>14</v>
      </c>
      <c r="C67" s="5" t="str">
        <f>"李大庆"</f>
        <v>李大庆</v>
      </c>
      <c r="D67" s="5" t="str">
        <f>"2020021203"</f>
        <v>2020021203</v>
      </c>
      <c r="E67" s="21">
        <v>72.4</v>
      </c>
      <c r="G67" s="5">
        <f t="shared" si="1"/>
        <v>72.4</v>
      </c>
    </row>
    <row r="68" ht="25.5" customHeight="1" spans="1:7">
      <c r="A68" s="5">
        <v>11</v>
      </c>
      <c r="B68" s="6" t="s">
        <v>14</v>
      </c>
      <c r="C68" s="5" t="str">
        <f>"尹洋"</f>
        <v>尹洋</v>
      </c>
      <c r="D68" s="5" t="str">
        <f>"2020021311"</f>
        <v>2020021311</v>
      </c>
      <c r="E68" s="21">
        <v>70.8</v>
      </c>
      <c r="G68" s="5">
        <f t="shared" si="1"/>
        <v>70.8</v>
      </c>
    </row>
    <row r="69" ht="25.5" customHeight="1" spans="1:7">
      <c r="A69" s="5">
        <v>12</v>
      </c>
      <c r="B69" s="6" t="s">
        <v>14</v>
      </c>
      <c r="C69" s="5" t="str">
        <f>"王俊茹"</f>
        <v>王俊茹</v>
      </c>
      <c r="D69" s="5" t="str">
        <f>"2020021207"</f>
        <v>2020021207</v>
      </c>
      <c r="E69" s="21">
        <v>69.6</v>
      </c>
      <c r="G69" s="5">
        <f t="shared" si="1"/>
        <v>69.6</v>
      </c>
    </row>
    <row r="70" ht="25.5" customHeight="1" spans="1:7">
      <c r="A70" s="5">
        <v>1</v>
      </c>
      <c r="B70" s="6" t="s">
        <v>15</v>
      </c>
      <c r="C70" s="5" t="str">
        <f>"陈露"</f>
        <v>陈露</v>
      </c>
      <c r="D70" s="5" t="str">
        <f>"2020022322"</f>
        <v>2020022322</v>
      </c>
      <c r="E70" s="21">
        <v>79.8</v>
      </c>
      <c r="G70" s="5">
        <f t="shared" si="1"/>
        <v>79.8</v>
      </c>
    </row>
    <row r="71" ht="25.5" customHeight="1" spans="1:7">
      <c r="A71" s="5">
        <v>2</v>
      </c>
      <c r="B71" s="6" t="s">
        <v>15</v>
      </c>
      <c r="C71" s="5" t="str">
        <f>"孟景"</f>
        <v>孟景</v>
      </c>
      <c r="D71" s="5" t="str">
        <f>"2020022520"</f>
        <v>2020022520</v>
      </c>
      <c r="E71" s="21">
        <v>77.8</v>
      </c>
      <c r="G71" s="5">
        <f t="shared" si="1"/>
        <v>77.8</v>
      </c>
    </row>
    <row r="72" ht="25.5" customHeight="1" spans="1:7">
      <c r="A72" s="5">
        <v>3</v>
      </c>
      <c r="B72" s="6" t="s">
        <v>15</v>
      </c>
      <c r="C72" s="5" t="str">
        <f>"翟佳莉"</f>
        <v>翟佳莉</v>
      </c>
      <c r="D72" s="5" t="str">
        <f>"2020022507"</f>
        <v>2020022507</v>
      </c>
      <c r="E72" s="21">
        <v>76.8</v>
      </c>
      <c r="G72" s="5">
        <f t="shared" si="1"/>
        <v>76.8</v>
      </c>
    </row>
    <row r="73" ht="25.5" customHeight="1" spans="1:7">
      <c r="A73" s="5">
        <v>4</v>
      </c>
      <c r="B73" s="6" t="s">
        <v>15</v>
      </c>
      <c r="C73" s="5" t="str">
        <f>"石晓倩"</f>
        <v>石晓倩</v>
      </c>
      <c r="D73" s="5" t="str">
        <f>"2020022424"</f>
        <v>2020022424</v>
      </c>
      <c r="E73" s="21">
        <v>76</v>
      </c>
      <c r="G73" s="5">
        <f t="shared" si="1"/>
        <v>76</v>
      </c>
    </row>
    <row r="74" ht="25.5" customHeight="1" spans="1:7">
      <c r="A74" s="5">
        <v>5</v>
      </c>
      <c r="B74" s="6" t="s">
        <v>15</v>
      </c>
      <c r="C74" s="5" t="str">
        <f>"王媛媛"</f>
        <v>王媛媛</v>
      </c>
      <c r="D74" s="5" t="str">
        <f>"2020022513"</f>
        <v>2020022513</v>
      </c>
      <c r="E74" s="21">
        <v>76</v>
      </c>
      <c r="G74" s="5">
        <f t="shared" si="1"/>
        <v>76</v>
      </c>
    </row>
    <row r="75" ht="33" customHeight="1" spans="1:8">
      <c r="A75" s="5">
        <v>1</v>
      </c>
      <c r="B75" s="6" t="s">
        <v>16</v>
      </c>
      <c r="C75" s="5" t="str">
        <f>"郭玉迎"</f>
        <v>郭玉迎</v>
      </c>
      <c r="D75" s="5" t="str">
        <f>"2020021501"</f>
        <v>2020021501</v>
      </c>
      <c r="E75" s="21">
        <v>69.2</v>
      </c>
      <c r="F75" s="5">
        <v>10</v>
      </c>
      <c r="G75" s="5">
        <f t="shared" si="1"/>
        <v>79.2</v>
      </c>
      <c r="H75" s="22" t="s">
        <v>9</v>
      </c>
    </row>
    <row r="76" ht="25.5" customHeight="1" spans="1:7">
      <c r="A76" s="5">
        <v>2</v>
      </c>
      <c r="B76" s="6" t="s">
        <v>16</v>
      </c>
      <c r="C76" s="5" t="str">
        <f>"宋碧杰"</f>
        <v>宋碧杰</v>
      </c>
      <c r="D76" s="5" t="str">
        <f>"2020021713"</f>
        <v>2020021713</v>
      </c>
      <c r="E76" s="21">
        <v>76.2</v>
      </c>
      <c r="G76" s="5">
        <f t="shared" si="1"/>
        <v>76.2</v>
      </c>
    </row>
    <row r="77" ht="25.5" customHeight="1" spans="1:7">
      <c r="A77" s="5">
        <v>1</v>
      </c>
      <c r="B77" s="6" t="s">
        <v>17</v>
      </c>
      <c r="C77" s="5" t="str">
        <f>"孙姝婷"</f>
        <v>孙姝婷</v>
      </c>
      <c r="D77" s="5" t="str">
        <f>"2020023403"</f>
        <v>2020023403</v>
      </c>
      <c r="E77" s="21">
        <v>79.4</v>
      </c>
      <c r="G77" s="5">
        <f t="shared" ref="G77:G140" si="2">E77+F77</f>
        <v>79.4</v>
      </c>
    </row>
    <row r="78" ht="25.5" customHeight="1" spans="1:7">
      <c r="A78" s="5">
        <v>2</v>
      </c>
      <c r="B78" s="6" t="s">
        <v>17</v>
      </c>
      <c r="C78" s="5" t="str">
        <f>"张岩岩"</f>
        <v>张岩岩</v>
      </c>
      <c r="D78" s="5" t="str">
        <f>"2020023621"</f>
        <v>2020023621</v>
      </c>
      <c r="E78" s="21">
        <v>78.4</v>
      </c>
      <c r="G78" s="5">
        <f t="shared" si="2"/>
        <v>78.4</v>
      </c>
    </row>
    <row r="79" ht="25.5" customHeight="1" spans="1:7">
      <c r="A79" s="5">
        <v>3</v>
      </c>
      <c r="B79" s="6" t="s">
        <v>17</v>
      </c>
      <c r="C79" s="5" t="str">
        <f>"刘草"</f>
        <v>刘草</v>
      </c>
      <c r="D79" s="5" t="str">
        <f>"2020023302"</f>
        <v>2020023302</v>
      </c>
      <c r="E79" s="21">
        <v>78</v>
      </c>
      <c r="G79" s="5">
        <f t="shared" si="2"/>
        <v>78</v>
      </c>
    </row>
    <row r="80" ht="25.5" customHeight="1" spans="1:7">
      <c r="A80" s="5">
        <v>4</v>
      </c>
      <c r="B80" s="6" t="s">
        <v>17</v>
      </c>
      <c r="C80" s="5" t="str">
        <f>"宋文慧"</f>
        <v>宋文慧</v>
      </c>
      <c r="D80" s="5" t="str">
        <f>"2020023511"</f>
        <v>2020023511</v>
      </c>
      <c r="E80" s="21">
        <v>77.8</v>
      </c>
      <c r="G80" s="5">
        <f t="shared" si="2"/>
        <v>77.8</v>
      </c>
    </row>
    <row r="81" ht="25.5" customHeight="1" spans="1:7">
      <c r="A81" s="5">
        <v>5</v>
      </c>
      <c r="B81" s="6" t="s">
        <v>17</v>
      </c>
      <c r="C81" s="5" t="str">
        <f>"李梦娜"</f>
        <v>李梦娜</v>
      </c>
      <c r="D81" s="5" t="str">
        <f>"2020023603"</f>
        <v>2020023603</v>
      </c>
      <c r="E81" s="21">
        <v>77</v>
      </c>
      <c r="G81" s="5">
        <f t="shared" si="2"/>
        <v>77</v>
      </c>
    </row>
    <row r="82" ht="25.5" customHeight="1" spans="1:7">
      <c r="A82" s="5">
        <v>6</v>
      </c>
      <c r="B82" s="6" t="s">
        <v>17</v>
      </c>
      <c r="C82" s="5" t="str">
        <f>"刘婉"</f>
        <v>刘婉</v>
      </c>
      <c r="D82" s="5" t="str">
        <f>"2020023414"</f>
        <v>2020023414</v>
      </c>
      <c r="E82" s="21">
        <v>75.8</v>
      </c>
      <c r="G82" s="5">
        <f t="shared" si="2"/>
        <v>75.8</v>
      </c>
    </row>
    <row r="83" ht="25.5" customHeight="1" spans="1:7">
      <c r="A83" s="5">
        <v>7</v>
      </c>
      <c r="B83" s="6" t="s">
        <v>17</v>
      </c>
      <c r="C83" s="5" t="str">
        <f>"房芳"</f>
        <v>房芳</v>
      </c>
      <c r="D83" s="5" t="str">
        <f>"2020023516"</f>
        <v>2020023516</v>
      </c>
      <c r="E83" s="21">
        <v>75.8</v>
      </c>
      <c r="G83" s="5">
        <f t="shared" si="2"/>
        <v>75.8</v>
      </c>
    </row>
    <row r="84" ht="25.5" customHeight="1" spans="1:7">
      <c r="A84" s="5">
        <v>8</v>
      </c>
      <c r="B84" s="6" t="s">
        <v>17</v>
      </c>
      <c r="C84" s="5" t="str">
        <f>"尤云俏"</f>
        <v>尤云俏</v>
      </c>
      <c r="D84" s="5" t="str">
        <f>"2020023524"</f>
        <v>2020023524</v>
      </c>
      <c r="E84" s="21">
        <v>74.8</v>
      </c>
      <c r="G84" s="5">
        <f t="shared" si="2"/>
        <v>74.8</v>
      </c>
    </row>
    <row r="85" ht="25.5" customHeight="1" spans="1:7">
      <c r="A85" s="5">
        <v>9</v>
      </c>
      <c r="B85" s="6" t="s">
        <v>17</v>
      </c>
      <c r="C85" s="5" t="str">
        <f>"韩梦"</f>
        <v>韩梦</v>
      </c>
      <c r="D85" s="5" t="str">
        <f>"2020023624"</f>
        <v>2020023624</v>
      </c>
      <c r="E85" s="21">
        <v>74</v>
      </c>
      <c r="G85" s="5">
        <f t="shared" si="2"/>
        <v>74</v>
      </c>
    </row>
    <row r="86" ht="25.5" customHeight="1" spans="1:7">
      <c r="A86" s="5">
        <v>10</v>
      </c>
      <c r="B86" s="6" t="s">
        <v>17</v>
      </c>
      <c r="C86" s="5" t="str">
        <f>"田秀"</f>
        <v>田秀</v>
      </c>
      <c r="D86" s="5" t="str">
        <f>"2020023704"</f>
        <v>2020023704</v>
      </c>
      <c r="E86" s="21">
        <v>73.4</v>
      </c>
      <c r="G86" s="5">
        <f t="shared" si="2"/>
        <v>73.4</v>
      </c>
    </row>
    <row r="87" ht="25.5" customHeight="1" spans="1:7">
      <c r="A87" s="5">
        <v>11</v>
      </c>
      <c r="B87" s="6" t="s">
        <v>17</v>
      </c>
      <c r="C87" s="5" t="str">
        <f>"韩雪飞"</f>
        <v>韩雪飞</v>
      </c>
      <c r="D87" s="5" t="str">
        <f>"2020023427"</f>
        <v>2020023427</v>
      </c>
      <c r="E87" s="21">
        <v>73</v>
      </c>
      <c r="G87" s="5">
        <f t="shared" si="2"/>
        <v>73</v>
      </c>
    </row>
    <row r="88" ht="25.5" customHeight="1" spans="1:7">
      <c r="A88" s="5">
        <v>12</v>
      </c>
      <c r="B88" s="6" t="s">
        <v>17</v>
      </c>
      <c r="C88" s="5" t="str">
        <f>"张伟雪"</f>
        <v>张伟雪</v>
      </c>
      <c r="D88" s="5" t="str">
        <f>"2020023409"</f>
        <v>2020023409</v>
      </c>
      <c r="E88" s="21">
        <v>72.8</v>
      </c>
      <c r="G88" s="5">
        <f t="shared" si="2"/>
        <v>72.8</v>
      </c>
    </row>
    <row r="89" ht="25.5" customHeight="1" spans="1:7">
      <c r="A89" s="5">
        <v>13</v>
      </c>
      <c r="B89" s="6" t="s">
        <v>17</v>
      </c>
      <c r="C89" s="5" t="str">
        <f>"梁寒"</f>
        <v>梁寒</v>
      </c>
      <c r="D89" s="5" t="str">
        <f>"2020023412"</f>
        <v>2020023412</v>
      </c>
      <c r="E89" s="21">
        <v>72.6</v>
      </c>
      <c r="G89" s="5">
        <f t="shared" si="2"/>
        <v>72.6</v>
      </c>
    </row>
    <row r="90" ht="25.5" customHeight="1" spans="1:7">
      <c r="A90" s="5">
        <v>14</v>
      </c>
      <c r="B90" s="6" t="s">
        <v>17</v>
      </c>
      <c r="C90" s="5" t="str">
        <f>"赵文静"</f>
        <v>赵文静</v>
      </c>
      <c r="D90" s="5" t="str">
        <f>"2020023509"</f>
        <v>2020023509</v>
      </c>
      <c r="E90" s="21">
        <v>72.6</v>
      </c>
      <c r="G90" s="5">
        <f t="shared" si="2"/>
        <v>72.6</v>
      </c>
    </row>
    <row r="91" ht="25.5" customHeight="1" spans="1:7">
      <c r="A91" s="5">
        <v>15</v>
      </c>
      <c r="B91" s="6" t="s">
        <v>17</v>
      </c>
      <c r="C91" s="5" t="str">
        <f>"徐茹"</f>
        <v>徐茹</v>
      </c>
      <c r="D91" s="5" t="str">
        <f>"2020023517"</f>
        <v>2020023517</v>
      </c>
      <c r="E91" s="21">
        <v>72.6</v>
      </c>
      <c r="G91" s="5">
        <f t="shared" si="2"/>
        <v>72.6</v>
      </c>
    </row>
    <row r="92" ht="25.5" customHeight="1" spans="1:7">
      <c r="A92" s="5">
        <v>16</v>
      </c>
      <c r="B92" s="6" t="s">
        <v>17</v>
      </c>
      <c r="C92" s="5" t="str">
        <f>"赵秋"</f>
        <v>赵秋</v>
      </c>
      <c r="D92" s="5" t="str">
        <f>"2020023311"</f>
        <v>2020023311</v>
      </c>
      <c r="E92" s="21">
        <v>72.4</v>
      </c>
      <c r="G92" s="5">
        <f t="shared" si="2"/>
        <v>72.4</v>
      </c>
    </row>
    <row r="93" ht="25.5" customHeight="1" spans="1:7">
      <c r="A93" s="5">
        <v>17</v>
      </c>
      <c r="B93" s="6" t="s">
        <v>17</v>
      </c>
      <c r="C93" s="5" t="str">
        <f>"王倩如"</f>
        <v>王倩如</v>
      </c>
      <c r="D93" s="5" t="str">
        <f>"2020023705"</f>
        <v>2020023705</v>
      </c>
      <c r="E93" s="21">
        <v>71.6</v>
      </c>
      <c r="G93" s="5">
        <f t="shared" si="2"/>
        <v>71.6</v>
      </c>
    </row>
    <row r="94" ht="25.5" customHeight="1" spans="1:7">
      <c r="A94" s="5">
        <v>18</v>
      </c>
      <c r="B94" s="6" t="s">
        <v>17</v>
      </c>
      <c r="C94" s="5" t="str">
        <f>"王涛雨"</f>
        <v>王涛雨</v>
      </c>
      <c r="D94" s="5" t="str">
        <f>"2020023219"</f>
        <v>2020023219</v>
      </c>
      <c r="E94" s="21">
        <v>70.8</v>
      </c>
      <c r="G94" s="5">
        <f t="shared" si="2"/>
        <v>70.8</v>
      </c>
    </row>
    <row r="95" ht="25.5" customHeight="1" spans="1:7">
      <c r="A95" s="5">
        <v>19</v>
      </c>
      <c r="B95" s="6" t="s">
        <v>17</v>
      </c>
      <c r="C95" s="5" t="str">
        <f>"王徐英"</f>
        <v>王徐英</v>
      </c>
      <c r="D95" s="5" t="str">
        <f>"2020023319"</f>
        <v>2020023319</v>
      </c>
      <c r="E95" s="21">
        <v>70.8</v>
      </c>
      <c r="G95" s="5">
        <f t="shared" si="2"/>
        <v>70.8</v>
      </c>
    </row>
    <row r="96" ht="25.5" customHeight="1" spans="1:7">
      <c r="A96" s="5">
        <v>20</v>
      </c>
      <c r="B96" s="6" t="s">
        <v>17</v>
      </c>
      <c r="C96" s="5" t="str">
        <f>"宋晓悦"</f>
        <v>宋晓悦</v>
      </c>
      <c r="D96" s="5" t="str">
        <f>"2020023416"</f>
        <v>2020023416</v>
      </c>
      <c r="E96" s="21">
        <v>70.6</v>
      </c>
      <c r="G96" s="5">
        <f t="shared" si="2"/>
        <v>70.6</v>
      </c>
    </row>
    <row r="97" ht="25.5" customHeight="1" spans="1:7">
      <c r="A97" s="5">
        <v>21</v>
      </c>
      <c r="B97" s="6" t="s">
        <v>17</v>
      </c>
      <c r="C97" s="5" t="str">
        <f>"朱青"</f>
        <v>朱青</v>
      </c>
      <c r="D97" s="5" t="str">
        <f>"2020023503"</f>
        <v>2020023503</v>
      </c>
      <c r="E97" s="21">
        <v>70.6</v>
      </c>
      <c r="G97" s="5">
        <f t="shared" si="2"/>
        <v>70.6</v>
      </c>
    </row>
    <row r="98" ht="25.5" customHeight="1" spans="1:7">
      <c r="A98" s="5">
        <v>22</v>
      </c>
      <c r="B98" s="6" t="s">
        <v>17</v>
      </c>
      <c r="C98" s="5" t="str">
        <f>"黄影"</f>
        <v>黄影</v>
      </c>
      <c r="D98" s="5" t="str">
        <f>"2020023327"</f>
        <v>2020023327</v>
      </c>
      <c r="E98" s="21">
        <v>69.8</v>
      </c>
      <c r="G98" s="5">
        <f t="shared" si="2"/>
        <v>69.8</v>
      </c>
    </row>
    <row r="99" ht="25.5" customHeight="1" spans="1:7">
      <c r="A99" s="5">
        <v>23</v>
      </c>
      <c r="B99" s="6" t="s">
        <v>17</v>
      </c>
      <c r="C99" s="5" t="str">
        <f>"冯伟伟"</f>
        <v>冯伟伟</v>
      </c>
      <c r="D99" s="5" t="str">
        <f>"2020023329"</f>
        <v>2020023329</v>
      </c>
      <c r="E99" s="21">
        <v>68.8</v>
      </c>
      <c r="G99" s="5">
        <f t="shared" si="2"/>
        <v>68.8</v>
      </c>
    </row>
    <row r="100" ht="25.5" customHeight="1" spans="1:7">
      <c r="A100" s="5">
        <v>24</v>
      </c>
      <c r="B100" s="6" t="s">
        <v>17</v>
      </c>
      <c r="C100" s="5" t="str">
        <f>"杨欣雨"</f>
        <v>杨欣雨</v>
      </c>
      <c r="D100" s="5" t="str">
        <f>"2020023227"</f>
        <v>2020023227</v>
      </c>
      <c r="E100" s="21">
        <v>68.6</v>
      </c>
      <c r="G100" s="5">
        <f t="shared" si="2"/>
        <v>68.6</v>
      </c>
    </row>
    <row r="101" ht="25.5" customHeight="1" spans="1:7">
      <c r="A101" s="5">
        <v>25</v>
      </c>
      <c r="B101" s="6" t="s">
        <v>17</v>
      </c>
      <c r="C101" s="5" t="str">
        <f>"马楠"</f>
        <v>马楠</v>
      </c>
      <c r="D101" s="5" t="str">
        <f>"2020023306"</f>
        <v>2020023306</v>
      </c>
      <c r="E101" s="21">
        <v>68.6</v>
      </c>
      <c r="G101" s="5">
        <f t="shared" si="2"/>
        <v>68.6</v>
      </c>
    </row>
    <row r="102" ht="25.5" customHeight="1" spans="1:7">
      <c r="A102" s="5">
        <v>26</v>
      </c>
      <c r="B102" s="6" t="s">
        <v>17</v>
      </c>
      <c r="C102" s="5" t="str">
        <f>"陈影"</f>
        <v>陈影</v>
      </c>
      <c r="D102" s="5" t="str">
        <f>"2020023526"</f>
        <v>2020023526</v>
      </c>
      <c r="E102" s="21">
        <v>68.4</v>
      </c>
      <c r="G102" s="5">
        <f t="shared" si="2"/>
        <v>68.4</v>
      </c>
    </row>
    <row r="103" ht="25.5" customHeight="1" spans="1:7">
      <c r="A103" s="5">
        <v>27</v>
      </c>
      <c r="B103" s="6" t="s">
        <v>17</v>
      </c>
      <c r="C103" s="5" t="str">
        <f>"韩兴荣"</f>
        <v>韩兴荣</v>
      </c>
      <c r="D103" s="5" t="str">
        <f>"2020023415"</f>
        <v>2020023415</v>
      </c>
      <c r="E103" s="21">
        <v>67.6</v>
      </c>
      <c r="G103" s="5">
        <f t="shared" si="2"/>
        <v>67.6</v>
      </c>
    </row>
    <row r="104" ht="25.5" customHeight="1" spans="1:7">
      <c r="A104" s="5">
        <v>28</v>
      </c>
      <c r="B104" s="6" t="s">
        <v>17</v>
      </c>
      <c r="C104" s="5" t="str">
        <f>"卞毛毛"</f>
        <v>卞毛毛</v>
      </c>
      <c r="D104" s="5" t="str">
        <f>"2020023307"</f>
        <v>2020023307</v>
      </c>
      <c r="E104" s="21">
        <v>67.4</v>
      </c>
      <c r="G104" s="5">
        <f t="shared" si="2"/>
        <v>67.4</v>
      </c>
    </row>
    <row r="105" ht="25.5" customHeight="1" spans="1:7">
      <c r="A105" s="5">
        <v>29</v>
      </c>
      <c r="B105" s="6" t="s">
        <v>17</v>
      </c>
      <c r="C105" s="5" t="str">
        <f>"朱孟孟"</f>
        <v>朱孟孟</v>
      </c>
      <c r="D105" s="5" t="str">
        <f>"2020023308"</f>
        <v>2020023308</v>
      </c>
      <c r="E105" s="21">
        <v>67.4</v>
      </c>
      <c r="G105" s="5">
        <f t="shared" si="2"/>
        <v>67.4</v>
      </c>
    </row>
    <row r="106" ht="25.5" customHeight="1" spans="1:7">
      <c r="A106" s="5">
        <v>30</v>
      </c>
      <c r="B106" s="6" t="s">
        <v>17</v>
      </c>
      <c r="C106" s="5" t="str">
        <f>"王利"</f>
        <v>王利</v>
      </c>
      <c r="D106" s="5" t="str">
        <f>"2020023330"</f>
        <v>2020023330</v>
      </c>
      <c r="E106" s="21">
        <v>67.4</v>
      </c>
      <c r="G106" s="5">
        <f t="shared" si="2"/>
        <v>67.4</v>
      </c>
    </row>
    <row r="107" ht="25.5" customHeight="1" spans="1:7">
      <c r="A107" s="5">
        <v>31</v>
      </c>
      <c r="B107" s="6" t="s">
        <v>17</v>
      </c>
      <c r="C107" s="5" t="str">
        <f>"钱楠慧"</f>
        <v>钱楠慧</v>
      </c>
      <c r="D107" s="5" t="str">
        <f>"2020023508"</f>
        <v>2020023508</v>
      </c>
      <c r="E107" s="21">
        <v>67.4</v>
      </c>
      <c r="G107" s="5">
        <f t="shared" si="2"/>
        <v>67.4</v>
      </c>
    </row>
    <row r="108" ht="25.5" customHeight="1" spans="1:7">
      <c r="A108" s="5">
        <v>32</v>
      </c>
      <c r="B108" s="6" t="s">
        <v>17</v>
      </c>
      <c r="C108" s="5" t="str">
        <f>"周强"</f>
        <v>周强</v>
      </c>
      <c r="D108" s="5" t="str">
        <f>"2020023514"</f>
        <v>2020023514</v>
      </c>
      <c r="E108" s="21">
        <v>66.8</v>
      </c>
      <c r="G108" s="5">
        <f t="shared" si="2"/>
        <v>66.8</v>
      </c>
    </row>
    <row r="109" ht="25.5" customHeight="1" spans="1:7">
      <c r="A109" s="5">
        <v>33</v>
      </c>
      <c r="B109" s="6" t="s">
        <v>17</v>
      </c>
      <c r="C109" s="5" t="str">
        <f>"彭玲"</f>
        <v>彭玲</v>
      </c>
      <c r="D109" s="5" t="str">
        <f>"2020023401"</f>
        <v>2020023401</v>
      </c>
      <c r="E109" s="21">
        <v>66.6</v>
      </c>
      <c r="G109" s="5">
        <f t="shared" si="2"/>
        <v>66.6</v>
      </c>
    </row>
    <row r="110" ht="25.5" customHeight="1" spans="1:7">
      <c r="A110" s="5">
        <v>34</v>
      </c>
      <c r="B110" s="6" t="s">
        <v>17</v>
      </c>
      <c r="C110" s="5" t="str">
        <f>"肖静宇"</f>
        <v>肖静宇</v>
      </c>
      <c r="D110" s="5" t="str">
        <f>"2020023502"</f>
        <v>2020023502</v>
      </c>
      <c r="E110" s="21">
        <v>66.6</v>
      </c>
      <c r="G110" s="5">
        <f t="shared" si="2"/>
        <v>66.6</v>
      </c>
    </row>
    <row r="111" ht="25.5" customHeight="1" spans="1:7">
      <c r="A111" s="5">
        <v>35</v>
      </c>
      <c r="B111" s="6" t="s">
        <v>17</v>
      </c>
      <c r="C111" s="5" t="str">
        <f>"马世杰"</f>
        <v>马世杰</v>
      </c>
      <c r="D111" s="5" t="str">
        <f>"2020023513"</f>
        <v>2020023513</v>
      </c>
      <c r="E111" s="21">
        <v>66.6</v>
      </c>
      <c r="G111" s="5">
        <f t="shared" si="2"/>
        <v>66.6</v>
      </c>
    </row>
    <row r="112" ht="25.5" customHeight="1" spans="1:7">
      <c r="A112" s="5">
        <v>36</v>
      </c>
      <c r="B112" s="6" t="s">
        <v>17</v>
      </c>
      <c r="C112" s="5" t="str">
        <f>"邹玉柯"</f>
        <v>邹玉柯</v>
      </c>
      <c r="D112" s="5" t="str">
        <f>"2020023607"</f>
        <v>2020023607</v>
      </c>
      <c r="E112" s="21">
        <v>66.4</v>
      </c>
      <c r="G112" s="5">
        <f t="shared" si="2"/>
        <v>66.4</v>
      </c>
    </row>
    <row r="113" ht="25.5" customHeight="1" spans="1:7">
      <c r="A113" s="5">
        <v>37</v>
      </c>
      <c r="B113" s="6" t="s">
        <v>17</v>
      </c>
      <c r="C113" s="5" t="str">
        <f>"王珂"</f>
        <v>王珂</v>
      </c>
      <c r="D113" s="5" t="str">
        <f>"2020023518"</f>
        <v>2020023518</v>
      </c>
      <c r="E113" s="21">
        <v>65.8</v>
      </c>
      <c r="G113" s="5">
        <f t="shared" si="2"/>
        <v>65.8</v>
      </c>
    </row>
    <row r="114" ht="25.5" customHeight="1" spans="1:7">
      <c r="A114" s="5">
        <v>38</v>
      </c>
      <c r="B114" s="6" t="s">
        <v>17</v>
      </c>
      <c r="C114" s="5" t="str">
        <f>"林长贺"</f>
        <v>林长贺</v>
      </c>
      <c r="D114" s="5" t="str">
        <f>"2020023725"</f>
        <v>2020023725</v>
      </c>
      <c r="E114" s="21">
        <v>65.8</v>
      </c>
      <c r="G114" s="5">
        <f t="shared" si="2"/>
        <v>65.8</v>
      </c>
    </row>
    <row r="115" ht="25.5" customHeight="1" spans="1:7">
      <c r="A115" s="5">
        <v>39</v>
      </c>
      <c r="B115" s="6" t="s">
        <v>17</v>
      </c>
      <c r="C115" s="5" t="str">
        <f>"徐婉婉"</f>
        <v>徐婉婉</v>
      </c>
      <c r="D115" s="5" t="str">
        <f>"2020023716"</f>
        <v>2020023716</v>
      </c>
      <c r="E115" s="21">
        <v>65.6</v>
      </c>
      <c r="G115" s="5">
        <f t="shared" si="2"/>
        <v>65.6</v>
      </c>
    </row>
    <row r="116" ht="25.5" customHeight="1" spans="1:7">
      <c r="A116" s="5">
        <v>40</v>
      </c>
      <c r="B116" s="6" t="s">
        <v>17</v>
      </c>
      <c r="C116" s="5" t="str">
        <f>"高媛媛"</f>
        <v>高媛媛</v>
      </c>
      <c r="D116" s="5" t="str">
        <f>"2020023323"</f>
        <v>2020023323</v>
      </c>
      <c r="E116" s="21">
        <v>65.4</v>
      </c>
      <c r="G116" s="5">
        <f t="shared" si="2"/>
        <v>65.4</v>
      </c>
    </row>
    <row r="117" ht="25.5" customHeight="1" spans="1:7">
      <c r="A117" s="5">
        <v>41</v>
      </c>
      <c r="B117" s="6" t="s">
        <v>17</v>
      </c>
      <c r="C117" s="5" t="str">
        <f>"陈念"</f>
        <v>陈念</v>
      </c>
      <c r="D117" s="5" t="str">
        <f>"2020023317"</f>
        <v>2020023317</v>
      </c>
      <c r="E117" s="21">
        <v>65.2</v>
      </c>
      <c r="G117" s="5">
        <f t="shared" si="2"/>
        <v>65.2</v>
      </c>
    </row>
    <row r="118" ht="25.5" customHeight="1" spans="1:7">
      <c r="A118" s="5">
        <v>42</v>
      </c>
      <c r="B118" s="6" t="s">
        <v>17</v>
      </c>
      <c r="C118" s="5" t="str">
        <f>"王敏"</f>
        <v>王敏</v>
      </c>
      <c r="D118" s="5" t="str">
        <f>"2020023406"</f>
        <v>2020023406</v>
      </c>
      <c r="E118" s="21">
        <v>64.8</v>
      </c>
      <c r="G118" s="5">
        <f t="shared" si="2"/>
        <v>64.8</v>
      </c>
    </row>
    <row r="119" ht="25.5" customHeight="1" spans="1:7">
      <c r="A119" s="5">
        <v>43</v>
      </c>
      <c r="B119" s="6" t="s">
        <v>17</v>
      </c>
      <c r="C119" s="5" t="str">
        <f>"王佳慧"</f>
        <v>王佳慧</v>
      </c>
      <c r="D119" s="5" t="str">
        <f>"2020023411"</f>
        <v>2020023411</v>
      </c>
      <c r="E119" s="21">
        <v>64.6</v>
      </c>
      <c r="G119" s="5">
        <f t="shared" si="2"/>
        <v>64.6</v>
      </c>
    </row>
    <row r="120" ht="25.5" customHeight="1" spans="1:7">
      <c r="A120" s="5">
        <v>44</v>
      </c>
      <c r="B120" s="6" t="s">
        <v>17</v>
      </c>
      <c r="C120" s="5" t="str">
        <f>"宋迪"</f>
        <v>宋迪</v>
      </c>
      <c r="D120" s="5" t="str">
        <f>"2020023418"</f>
        <v>2020023418</v>
      </c>
      <c r="E120" s="21">
        <v>64.6</v>
      </c>
      <c r="G120" s="5">
        <f t="shared" si="2"/>
        <v>64.6</v>
      </c>
    </row>
    <row r="121" ht="25.5" customHeight="1" spans="1:7">
      <c r="A121" s="5">
        <v>45</v>
      </c>
      <c r="B121" s="6" t="s">
        <v>17</v>
      </c>
      <c r="C121" s="5" t="str">
        <f>"史俊杰"</f>
        <v>史俊杰</v>
      </c>
      <c r="D121" s="5" t="str">
        <f>"2020023721"</f>
        <v>2020023721</v>
      </c>
      <c r="E121" s="21">
        <v>63.8</v>
      </c>
      <c r="G121" s="5">
        <f t="shared" si="2"/>
        <v>63.8</v>
      </c>
    </row>
    <row r="122" ht="25.5" customHeight="1" spans="1:7">
      <c r="A122" s="5">
        <v>46</v>
      </c>
      <c r="B122" s="6" t="s">
        <v>17</v>
      </c>
      <c r="C122" s="5" t="str">
        <f>"曹苗苗"</f>
        <v>曹苗苗</v>
      </c>
      <c r="D122" s="5" t="str">
        <f>"2020023315"</f>
        <v>2020023315</v>
      </c>
      <c r="E122" s="21">
        <v>63.6</v>
      </c>
      <c r="G122" s="5">
        <f t="shared" si="2"/>
        <v>63.6</v>
      </c>
    </row>
    <row r="123" ht="25.5" customHeight="1" spans="1:7">
      <c r="A123" s="5">
        <v>47</v>
      </c>
      <c r="B123" s="6" t="s">
        <v>17</v>
      </c>
      <c r="C123" s="5" t="str">
        <f>"王雷"</f>
        <v>王雷</v>
      </c>
      <c r="D123" s="5" t="str">
        <f>"2020023719"</f>
        <v>2020023719</v>
      </c>
      <c r="E123" s="21">
        <v>63.6</v>
      </c>
      <c r="G123" s="5">
        <f t="shared" si="2"/>
        <v>63.6</v>
      </c>
    </row>
    <row r="124" ht="25.5" customHeight="1" spans="1:7">
      <c r="A124" s="5">
        <v>48</v>
      </c>
      <c r="B124" s="6" t="s">
        <v>17</v>
      </c>
      <c r="C124" s="5" t="str">
        <f>"周彩侠"</f>
        <v>周彩侠</v>
      </c>
      <c r="D124" s="5" t="str">
        <f>"2020023402"</f>
        <v>2020023402</v>
      </c>
      <c r="E124" s="21">
        <v>63.4</v>
      </c>
      <c r="G124" s="5">
        <f t="shared" si="2"/>
        <v>63.4</v>
      </c>
    </row>
    <row r="125" ht="25.5" customHeight="1" spans="1:7">
      <c r="A125" s="5">
        <v>49</v>
      </c>
      <c r="B125" s="6" t="s">
        <v>17</v>
      </c>
      <c r="C125" s="5" t="str">
        <f>"张翠翠"</f>
        <v>张翠翠</v>
      </c>
      <c r="D125" s="5" t="str">
        <f>"2020023601"</f>
        <v>2020023601</v>
      </c>
      <c r="E125" s="21">
        <v>62.4</v>
      </c>
      <c r="G125" s="5">
        <f t="shared" si="2"/>
        <v>62.4</v>
      </c>
    </row>
    <row r="126" ht="25.5" customHeight="1" spans="1:7">
      <c r="A126" s="5">
        <v>50</v>
      </c>
      <c r="B126" s="6" t="s">
        <v>17</v>
      </c>
      <c r="C126" s="5" t="str">
        <f>"齐康敏"</f>
        <v>齐康敏</v>
      </c>
      <c r="D126" s="5" t="str">
        <f>"2020023519"</f>
        <v>2020023519</v>
      </c>
      <c r="E126" s="21">
        <v>61.4</v>
      </c>
      <c r="G126" s="5">
        <f t="shared" si="2"/>
        <v>61.4</v>
      </c>
    </row>
    <row r="127" ht="25.5" customHeight="1" spans="1:7">
      <c r="A127" s="5">
        <v>51</v>
      </c>
      <c r="B127" s="6" t="s">
        <v>17</v>
      </c>
      <c r="C127" s="5" t="str">
        <f>"曹梦丽"</f>
        <v>曹梦丽</v>
      </c>
      <c r="D127" s="5" t="str">
        <f>"2020023604"</f>
        <v>2020023604</v>
      </c>
      <c r="E127" s="21">
        <v>61</v>
      </c>
      <c r="G127" s="5">
        <f t="shared" si="2"/>
        <v>61</v>
      </c>
    </row>
    <row r="128" ht="25.5" customHeight="1" spans="1:7">
      <c r="A128" s="5">
        <v>52</v>
      </c>
      <c r="B128" s="6" t="s">
        <v>17</v>
      </c>
      <c r="C128" s="5" t="str">
        <f>"许苗苗"</f>
        <v>许苗苗</v>
      </c>
      <c r="D128" s="5" t="str">
        <f>"2020023404"</f>
        <v>2020023404</v>
      </c>
      <c r="E128" s="21">
        <v>60.8</v>
      </c>
      <c r="G128" s="5">
        <f t="shared" si="2"/>
        <v>60.8</v>
      </c>
    </row>
    <row r="129" ht="25.5" customHeight="1" spans="1:7">
      <c r="A129" s="5">
        <v>53</v>
      </c>
      <c r="B129" s="6" t="s">
        <v>17</v>
      </c>
      <c r="C129" s="5" t="str">
        <f>"徐聪"</f>
        <v>徐聪</v>
      </c>
      <c r="D129" s="5" t="str">
        <f>"2020023417"</f>
        <v>2020023417</v>
      </c>
      <c r="E129" s="21">
        <v>59.4</v>
      </c>
      <c r="G129" s="5">
        <f t="shared" si="2"/>
        <v>59.4</v>
      </c>
    </row>
    <row r="130" ht="25.5" customHeight="1" spans="1:7">
      <c r="A130" s="5">
        <v>54</v>
      </c>
      <c r="B130" s="6" t="s">
        <v>17</v>
      </c>
      <c r="C130" s="5" t="str">
        <f>"马超凡"</f>
        <v>马超凡</v>
      </c>
      <c r="D130" s="5" t="str">
        <f>"2020023422"</f>
        <v>2020023422</v>
      </c>
      <c r="E130" s="21">
        <v>59.4</v>
      </c>
      <c r="G130" s="5">
        <f t="shared" si="2"/>
        <v>59.4</v>
      </c>
    </row>
    <row r="131" ht="25.5" customHeight="1" spans="1:7">
      <c r="A131" s="5">
        <v>55</v>
      </c>
      <c r="B131" s="6" t="s">
        <v>17</v>
      </c>
      <c r="C131" s="5" t="str">
        <f>"李文宇"</f>
        <v>李文宇</v>
      </c>
      <c r="D131" s="5" t="str">
        <f>"2020023424"</f>
        <v>2020023424</v>
      </c>
      <c r="E131" s="21">
        <v>59.2</v>
      </c>
      <c r="G131" s="5">
        <f t="shared" si="2"/>
        <v>59.2</v>
      </c>
    </row>
    <row r="132" ht="25.5" customHeight="1" spans="1:7">
      <c r="A132" s="5">
        <v>56</v>
      </c>
      <c r="B132" s="6" t="s">
        <v>17</v>
      </c>
      <c r="C132" s="5" t="str">
        <f>"王紫薇"</f>
        <v>王紫薇</v>
      </c>
      <c r="D132" s="5" t="str">
        <f>"2020023520"</f>
        <v>2020023520</v>
      </c>
      <c r="E132" s="21">
        <v>59.2</v>
      </c>
      <c r="G132" s="5">
        <f t="shared" si="2"/>
        <v>59.2</v>
      </c>
    </row>
    <row r="133" ht="25.5" customHeight="1" spans="1:7">
      <c r="A133" s="5">
        <v>57</v>
      </c>
      <c r="B133" s="6" t="s">
        <v>17</v>
      </c>
      <c r="C133" s="5" t="str">
        <f>"张澜"</f>
        <v>张澜</v>
      </c>
      <c r="D133" s="5" t="str">
        <f>"2020023523"</f>
        <v>2020023523</v>
      </c>
      <c r="E133" s="21">
        <v>59.2</v>
      </c>
      <c r="G133" s="5">
        <f t="shared" si="2"/>
        <v>59.2</v>
      </c>
    </row>
    <row r="134" ht="25.5" customHeight="1" spans="1:7">
      <c r="A134" s="5">
        <v>58</v>
      </c>
      <c r="B134" s="6" t="s">
        <v>17</v>
      </c>
      <c r="C134" s="5" t="str">
        <f>"梁畅"</f>
        <v>梁畅</v>
      </c>
      <c r="D134" s="5" t="str">
        <f>"2020023605"</f>
        <v>2020023605</v>
      </c>
      <c r="E134" s="21">
        <v>58.8</v>
      </c>
      <c r="G134" s="5">
        <f t="shared" si="2"/>
        <v>58.8</v>
      </c>
    </row>
    <row r="135" ht="25.5" customHeight="1" spans="1:7">
      <c r="A135" s="5">
        <v>59</v>
      </c>
      <c r="B135" s="6" t="s">
        <v>17</v>
      </c>
      <c r="C135" s="5" t="str">
        <f>"雷笑笑"</f>
        <v>雷笑笑</v>
      </c>
      <c r="D135" s="5" t="str">
        <f>"2020023713"</f>
        <v>2020023713</v>
      </c>
      <c r="E135" s="21">
        <v>58.8</v>
      </c>
      <c r="G135" s="5">
        <f t="shared" si="2"/>
        <v>58.8</v>
      </c>
    </row>
    <row r="136" ht="25.5" customHeight="1" spans="1:7">
      <c r="A136" s="5">
        <v>60</v>
      </c>
      <c r="B136" s="6" t="s">
        <v>17</v>
      </c>
      <c r="C136" s="5" t="str">
        <f>"孙卫卫"</f>
        <v>孙卫卫</v>
      </c>
      <c r="D136" s="5" t="str">
        <f>"2020023714"</f>
        <v>2020023714</v>
      </c>
      <c r="E136" s="21">
        <v>58.6</v>
      </c>
      <c r="G136" s="5">
        <f t="shared" si="2"/>
        <v>58.6</v>
      </c>
    </row>
    <row r="137" ht="32.25" customHeight="1" spans="1:8">
      <c r="A137" s="5">
        <v>1</v>
      </c>
      <c r="B137" s="6" t="s">
        <v>18</v>
      </c>
      <c r="C137" s="5" t="str">
        <f>"朱翠侠"</f>
        <v>朱翠侠</v>
      </c>
      <c r="D137" s="5" t="str">
        <f>"2020024313"</f>
        <v>2020024313</v>
      </c>
      <c r="E137" s="21">
        <v>82</v>
      </c>
      <c r="F137" s="5">
        <v>10</v>
      </c>
      <c r="G137" s="5">
        <f t="shared" si="2"/>
        <v>92</v>
      </c>
      <c r="H137" s="22" t="str">
        <f>INDEX([1]笔试!$AN$10:$AN$825,MATCH(D137:D1115,[1]笔试!$AC$10:$AC$825,0))</f>
        <v>已取得主管护师职称的考生加10分</v>
      </c>
    </row>
    <row r="138" ht="32.25" customHeight="1" spans="1:8">
      <c r="A138" s="5">
        <v>2</v>
      </c>
      <c r="B138" s="6" t="s">
        <v>18</v>
      </c>
      <c r="C138" s="5" t="str">
        <f>"侯晶晶"</f>
        <v>侯晶晶</v>
      </c>
      <c r="D138" s="5" t="str">
        <f>"2020023902"</f>
        <v>2020023902</v>
      </c>
      <c r="E138" s="21">
        <v>78.8</v>
      </c>
      <c r="F138" s="5">
        <v>10</v>
      </c>
      <c r="G138" s="5">
        <f t="shared" si="2"/>
        <v>88.8</v>
      </c>
      <c r="H138" s="22" t="str">
        <f>INDEX([1]笔试!$AN$10:$AN$825,MATCH(D138:D1116,[1]笔试!$AC$10:$AC$825,0))</f>
        <v>已取得主管护师职称的考生加10分</v>
      </c>
    </row>
    <row r="139" ht="32.25" customHeight="1" spans="1:8">
      <c r="A139" s="5">
        <v>3</v>
      </c>
      <c r="B139" s="6" t="s">
        <v>18</v>
      </c>
      <c r="C139" s="5" t="str">
        <f>"刘腾腾"</f>
        <v>刘腾腾</v>
      </c>
      <c r="D139" s="5" t="str">
        <f>"2020024526"</f>
        <v>2020024526</v>
      </c>
      <c r="E139" s="21">
        <v>78</v>
      </c>
      <c r="F139" s="5">
        <v>10</v>
      </c>
      <c r="G139" s="5">
        <f t="shared" si="2"/>
        <v>88</v>
      </c>
      <c r="H139" s="22" t="str">
        <f>INDEX([1]笔试!$AN$10:$AN$825,MATCH(D139:D1117,[1]笔试!$AC$10:$AC$825,0))</f>
        <v>已取得主管护师职称的考生加10分</v>
      </c>
    </row>
    <row r="140" ht="32.25" customHeight="1" spans="1:8">
      <c r="A140" s="5">
        <v>4</v>
      </c>
      <c r="B140" s="6" t="s">
        <v>18</v>
      </c>
      <c r="C140" s="5" t="str">
        <f>"郭倩"</f>
        <v>郭倩</v>
      </c>
      <c r="D140" s="5" t="str">
        <f>"2020024217"</f>
        <v>2020024217</v>
      </c>
      <c r="E140" s="21">
        <v>76.8</v>
      </c>
      <c r="F140" s="5">
        <v>10</v>
      </c>
      <c r="G140" s="5">
        <f t="shared" si="2"/>
        <v>86.8</v>
      </c>
      <c r="H140" s="22" t="str">
        <f>INDEX([1]笔试!$AN$10:$AN$825,MATCH(D140:D1118,[1]笔试!$AC$10:$AC$825,0))</f>
        <v>已取得主管护师职称的考生加10分</v>
      </c>
    </row>
    <row r="141" ht="32.25" customHeight="1" spans="1:8">
      <c r="A141" s="5">
        <v>5</v>
      </c>
      <c r="B141" s="6" t="s">
        <v>18</v>
      </c>
      <c r="C141" s="5" t="str">
        <f>"纵倩"</f>
        <v>纵倩</v>
      </c>
      <c r="D141" s="5" t="str">
        <f>"2020023925"</f>
        <v>2020023925</v>
      </c>
      <c r="E141" s="21">
        <v>75.6</v>
      </c>
      <c r="F141" s="5">
        <v>10</v>
      </c>
      <c r="G141" s="5">
        <f t="shared" ref="G141:G156" si="3">E141+F141</f>
        <v>85.6</v>
      </c>
      <c r="H141" s="22" t="str">
        <f>INDEX([1]笔试!$AN$10:$AN$825,MATCH(D141:D1119,[1]笔试!$AC$10:$AC$825,0))</f>
        <v>已取得主管护师职称的考生加10分</v>
      </c>
    </row>
    <row r="142" ht="32.25" customHeight="1" spans="1:8">
      <c r="A142" s="5">
        <v>6</v>
      </c>
      <c r="B142" s="6" t="s">
        <v>18</v>
      </c>
      <c r="C142" s="5" t="str">
        <f>"陈珊"</f>
        <v>陈珊</v>
      </c>
      <c r="D142" s="5" t="str">
        <f>"2020024501"</f>
        <v>2020024501</v>
      </c>
      <c r="E142" s="21">
        <v>74.6</v>
      </c>
      <c r="F142" s="5">
        <v>10</v>
      </c>
      <c r="G142" s="5">
        <f t="shared" si="3"/>
        <v>84.6</v>
      </c>
      <c r="H142" s="22" t="str">
        <f>INDEX([1]笔试!$AN$10:$AN$825,MATCH(D142:D1120,[1]笔试!$AC$10:$AC$825,0))</f>
        <v>已取得主管护师职称的考生加10分</v>
      </c>
    </row>
    <row r="143" ht="32.25" customHeight="1" spans="1:8">
      <c r="A143" s="5">
        <v>7</v>
      </c>
      <c r="B143" s="6" t="s">
        <v>18</v>
      </c>
      <c r="C143" s="5" t="str">
        <f>"任昕腾"</f>
        <v>任昕腾</v>
      </c>
      <c r="D143" s="5" t="str">
        <f>"2020024213"</f>
        <v>2020024213</v>
      </c>
      <c r="E143" s="21">
        <v>74.4</v>
      </c>
      <c r="F143" s="5">
        <v>10</v>
      </c>
      <c r="G143" s="5">
        <f t="shared" si="3"/>
        <v>84.4</v>
      </c>
      <c r="H143" s="22" t="str">
        <f>INDEX([1]笔试!$AN$10:$AN$825,MATCH(D143:D1121,[1]笔试!$AC$10:$AC$825,0))</f>
        <v>已取得主管护师职称的考生加10分</v>
      </c>
    </row>
    <row r="144" ht="32.25" customHeight="1" spans="1:8">
      <c r="A144" s="5">
        <v>8</v>
      </c>
      <c r="B144" s="6" t="s">
        <v>18</v>
      </c>
      <c r="C144" s="5" t="str">
        <f>"张琳琳"</f>
        <v>张琳琳</v>
      </c>
      <c r="D144" s="5" t="str">
        <f>"2020024110"</f>
        <v>2020024110</v>
      </c>
      <c r="E144" s="21">
        <v>73.8</v>
      </c>
      <c r="F144" s="5">
        <v>10</v>
      </c>
      <c r="G144" s="5">
        <f t="shared" si="3"/>
        <v>83.8</v>
      </c>
      <c r="H144" s="22" t="str">
        <f>INDEX([1]笔试!$AN$10:$AN$825,MATCH(D144:D1122,[1]笔试!$AC$10:$AC$825,0))</f>
        <v>已取得主管护师职称的考生加10分</v>
      </c>
    </row>
    <row r="145" ht="32.25" customHeight="1" spans="1:8">
      <c r="A145" s="5">
        <v>9</v>
      </c>
      <c r="B145" s="6" t="s">
        <v>18</v>
      </c>
      <c r="C145" s="5" t="str">
        <f>"黄燕玲"</f>
        <v>黄燕玲</v>
      </c>
      <c r="D145" s="5" t="str">
        <f>"2020024214"</f>
        <v>2020024214</v>
      </c>
      <c r="E145" s="21">
        <v>73.8</v>
      </c>
      <c r="F145" s="5">
        <v>10</v>
      </c>
      <c r="G145" s="5">
        <f t="shared" si="3"/>
        <v>83.8</v>
      </c>
      <c r="H145" s="22" t="str">
        <f>INDEX([1]笔试!$AN$10:$AN$825,MATCH(D145:D1123,[1]笔试!$AC$10:$AC$825,0))</f>
        <v>已取得主管护师职称的考生加10分</v>
      </c>
    </row>
    <row r="146" ht="32.25" customHeight="1" spans="1:8">
      <c r="A146" s="5">
        <v>10</v>
      </c>
      <c r="B146" s="6" t="s">
        <v>18</v>
      </c>
      <c r="C146" s="5" t="str">
        <f>"庄丹丹"</f>
        <v>庄丹丹</v>
      </c>
      <c r="D146" s="5" t="str">
        <f>"2020024521"</f>
        <v>2020024521</v>
      </c>
      <c r="E146" s="21">
        <v>73.8</v>
      </c>
      <c r="F146" s="5">
        <v>10</v>
      </c>
      <c r="G146" s="5">
        <f t="shared" si="3"/>
        <v>83.8</v>
      </c>
      <c r="H146" s="22" t="str">
        <f>INDEX([1]笔试!$AN$10:$AN$825,MATCH(D146:D1124,[1]笔试!$AC$10:$AC$825,0))</f>
        <v>已取得主管护师职称的考生加10分</v>
      </c>
    </row>
    <row r="147" ht="32.25" customHeight="1" spans="1:8">
      <c r="A147" s="5">
        <v>11</v>
      </c>
      <c r="B147" s="6" t="s">
        <v>18</v>
      </c>
      <c r="C147" s="5" t="str">
        <f>"熊曼曼"</f>
        <v>熊曼曼</v>
      </c>
      <c r="D147" s="5" t="str">
        <f>"2020024129"</f>
        <v>2020024129</v>
      </c>
      <c r="E147" s="21">
        <v>73.6</v>
      </c>
      <c r="F147" s="5">
        <v>10</v>
      </c>
      <c r="G147" s="5">
        <f t="shared" si="3"/>
        <v>83.6</v>
      </c>
      <c r="H147" s="22" t="str">
        <f>INDEX([1]笔试!$AN$10:$AN$825,MATCH(D147:D1125,[1]笔试!$AC$10:$AC$825,0))</f>
        <v>已取得主管护师职称的考生加10分</v>
      </c>
    </row>
    <row r="148" ht="32.25" customHeight="1" spans="1:8">
      <c r="A148" s="5">
        <v>12</v>
      </c>
      <c r="B148" s="6" t="s">
        <v>18</v>
      </c>
      <c r="C148" s="5" t="str">
        <f>"兰玲玲"</f>
        <v>兰玲玲</v>
      </c>
      <c r="D148" s="5" t="str">
        <f>"2020024224"</f>
        <v>2020024224</v>
      </c>
      <c r="E148" s="21">
        <v>73.6</v>
      </c>
      <c r="F148" s="5">
        <v>10</v>
      </c>
      <c r="G148" s="5">
        <f t="shared" si="3"/>
        <v>83.6</v>
      </c>
      <c r="H148" s="22" t="str">
        <f>INDEX([1]笔试!$AN$10:$AN$825,MATCH(D148:D1126,[1]笔试!$AC$10:$AC$825,0))</f>
        <v>已取得主管护师职称的考生加10分</v>
      </c>
    </row>
    <row r="149" ht="32.25" customHeight="1" spans="1:8">
      <c r="A149" s="5">
        <v>13</v>
      </c>
      <c r="B149" s="6" t="s">
        <v>18</v>
      </c>
      <c r="C149" s="5" t="str">
        <f>"潘夏莲"</f>
        <v>潘夏莲</v>
      </c>
      <c r="D149" s="5" t="str">
        <f>"2020024512"</f>
        <v>2020024512</v>
      </c>
      <c r="E149" s="21">
        <v>73.6</v>
      </c>
      <c r="F149" s="5">
        <v>10</v>
      </c>
      <c r="G149" s="5">
        <f t="shared" si="3"/>
        <v>83.6</v>
      </c>
      <c r="H149" s="22" t="str">
        <f>INDEX([1]笔试!$AN$10:$AN$825,MATCH(D149:D1127,[1]笔试!$AC$10:$AC$825,0))</f>
        <v>已取得主管护师职称的考生加10分</v>
      </c>
    </row>
    <row r="150" ht="32.25" customHeight="1" spans="1:8">
      <c r="A150" s="5">
        <v>14</v>
      </c>
      <c r="B150" s="6" t="s">
        <v>18</v>
      </c>
      <c r="C150" s="5" t="str">
        <f>"张开艳"</f>
        <v>张开艳</v>
      </c>
      <c r="D150" s="5" t="str">
        <f>"2020024619"</f>
        <v>2020024619</v>
      </c>
      <c r="E150" s="21">
        <v>72.6</v>
      </c>
      <c r="F150" s="5">
        <v>10</v>
      </c>
      <c r="G150" s="5">
        <f t="shared" si="3"/>
        <v>82.6</v>
      </c>
      <c r="H150" s="22" t="str">
        <f>INDEX([1]笔试!$AN$10:$AN$825,MATCH(D150:D1128,[1]笔试!$AC$10:$AC$825,0))</f>
        <v>已取得主管护师职称的考生加10分</v>
      </c>
    </row>
    <row r="151" ht="32.25" customHeight="1" spans="1:8">
      <c r="A151" s="5">
        <v>15</v>
      </c>
      <c r="B151" s="6" t="s">
        <v>18</v>
      </c>
      <c r="C151" s="5" t="str">
        <f>"杨淋"</f>
        <v>杨淋</v>
      </c>
      <c r="D151" s="5" t="str">
        <f>"2020024519"</f>
        <v>2020024519</v>
      </c>
      <c r="E151" s="21">
        <v>72</v>
      </c>
      <c r="F151" s="5">
        <v>10</v>
      </c>
      <c r="G151" s="5">
        <f t="shared" si="3"/>
        <v>82</v>
      </c>
      <c r="H151" s="22" t="str">
        <f>INDEX([1]笔试!$AN$10:$AN$825,MATCH(D151:D1129,[1]笔试!$AC$10:$AC$825,0))</f>
        <v>已取得主管护师职称的考生加10分</v>
      </c>
    </row>
    <row r="152" ht="32.25" customHeight="1" spans="1:8">
      <c r="A152" s="5">
        <v>16</v>
      </c>
      <c r="B152" s="6" t="s">
        <v>18</v>
      </c>
      <c r="C152" s="5" t="str">
        <f>"孙丽"</f>
        <v>孙丽</v>
      </c>
      <c r="D152" s="5" t="str">
        <f>"2020023914"</f>
        <v>2020023914</v>
      </c>
      <c r="E152" s="21">
        <v>71.8</v>
      </c>
      <c r="F152" s="5">
        <v>10</v>
      </c>
      <c r="G152" s="5">
        <f t="shared" si="3"/>
        <v>81.8</v>
      </c>
      <c r="H152" s="22" t="str">
        <f>INDEX([1]笔试!$AN$10:$AN$825,MATCH(D152:D1130,[1]笔试!$AC$10:$AC$825,0))</f>
        <v>已取得主管护师职称的考生加10分</v>
      </c>
    </row>
    <row r="153" ht="25.5" customHeight="1" spans="1:7">
      <c r="A153" s="5">
        <v>17</v>
      </c>
      <c r="B153" s="6" t="s">
        <v>18</v>
      </c>
      <c r="C153" s="5" t="str">
        <f>"经林"</f>
        <v>经林</v>
      </c>
      <c r="D153" s="5" t="str">
        <f>"2020024013"</f>
        <v>2020024013</v>
      </c>
      <c r="E153" s="21">
        <v>81</v>
      </c>
      <c r="G153" s="5">
        <f t="shared" si="3"/>
        <v>81</v>
      </c>
    </row>
    <row r="154" ht="29.25" customHeight="1" spans="1:8">
      <c r="A154" s="5">
        <v>18</v>
      </c>
      <c r="B154" s="6" t="s">
        <v>18</v>
      </c>
      <c r="C154" s="5" t="str">
        <f>"曹丹丹"</f>
        <v>曹丹丹</v>
      </c>
      <c r="D154" s="5" t="str">
        <f>"2020024504"</f>
        <v>2020024504</v>
      </c>
      <c r="E154" s="21">
        <v>70.8</v>
      </c>
      <c r="F154" s="5">
        <v>10</v>
      </c>
      <c r="G154" s="5">
        <f t="shared" si="3"/>
        <v>80.8</v>
      </c>
      <c r="H154" s="22" t="str">
        <f>INDEX([1]笔试!$AN$10:$AN$825,MATCH(D154:D1132,[1]笔试!$AC$10:$AC$825,0))</f>
        <v>已取得主管护师职称的考生加10分</v>
      </c>
    </row>
    <row r="155" ht="29.25" customHeight="1" spans="1:8">
      <c r="A155" s="5">
        <v>19</v>
      </c>
      <c r="B155" s="6" t="s">
        <v>18</v>
      </c>
      <c r="C155" s="5" t="str">
        <f>"陈瑶"</f>
        <v>陈瑶</v>
      </c>
      <c r="D155" s="5" t="str">
        <f>"2020024121"</f>
        <v>2020024121</v>
      </c>
      <c r="E155" s="21">
        <v>70.2</v>
      </c>
      <c r="F155" s="5">
        <v>10</v>
      </c>
      <c r="G155" s="5">
        <f t="shared" si="3"/>
        <v>80.2</v>
      </c>
      <c r="H155" s="22" t="str">
        <f>INDEX([1]笔试!$AN$10:$AN$825,MATCH(D155:D1133,[1]笔试!$AC$10:$AC$825,0))</f>
        <v>已取得主管护师职称的考生加10分</v>
      </c>
    </row>
    <row r="156" ht="25.5" customHeight="1" spans="1:7">
      <c r="A156" s="5">
        <v>20</v>
      </c>
      <c r="B156" s="6" t="s">
        <v>18</v>
      </c>
      <c r="C156" s="5" t="str">
        <f>"陈欣妤"</f>
        <v>陈欣妤</v>
      </c>
      <c r="D156" s="5" t="str">
        <f>"2020024302"</f>
        <v>2020024302</v>
      </c>
      <c r="E156" s="21">
        <v>79.8</v>
      </c>
      <c r="G156" s="5">
        <f t="shared" si="3"/>
        <v>79.8</v>
      </c>
    </row>
    <row r="157" ht="23.1" customHeight="1" spans="1:8">
      <c r="A157" s="5">
        <v>1</v>
      </c>
      <c r="B157" s="5" t="s">
        <v>19</v>
      </c>
      <c r="C157" s="5" t="s">
        <v>20</v>
      </c>
      <c r="H157" s="22" t="s">
        <v>21</v>
      </c>
    </row>
    <row r="158" ht="23.1" customHeight="1" spans="1:8">
      <c r="A158" s="5">
        <v>2</v>
      </c>
      <c r="B158" s="5" t="s">
        <v>19</v>
      </c>
      <c r="C158" s="5" t="s">
        <v>22</v>
      </c>
      <c r="H158" s="22" t="s">
        <v>21</v>
      </c>
    </row>
    <row r="159" ht="23.1" customHeight="1" spans="1:8">
      <c r="A159" s="5">
        <v>3</v>
      </c>
      <c r="B159" s="5" t="s">
        <v>19</v>
      </c>
      <c r="C159" s="5" t="s">
        <v>23</v>
      </c>
      <c r="H159" s="22" t="s">
        <v>21</v>
      </c>
    </row>
    <row r="160" ht="23.1" customHeight="1" spans="1:8">
      <c r="A160" s="5">
        <v>1</v>
      </c>
      <c r="B160" s="5" t="s">
        <v>24</v>
      </c>
      <c r="C160" s="5" t="s">
        <v>25</v>
      </c>
      <c r="H160" s="22" t="s">
        <v>21</v>
      </c>
    </row>
    <row r="161" ht="23.1" customHeight="1" spans="1:8">
      <c r="A161" s="5">
        <v>2</v>
      </c>
      <c r="B161" s="5" t="s">
        <v>24</v>
      </c>
      <c r="C161" s="5" t="s">
        <v>26</v>
      </c>
      <c r="H161" s="22" t="s">
        <v>21</v>
      </c>
    </row>
    <row r="162" ht="23.1" customHeight="1" spans="1:8">
      <c r="A162" s="5">
        <v>3</v>
      </c>
      <c r="B162" s="5" t="s">
        <v>24</v>
      </c>
      <c r="C162" s="5" t="s">
        <v>27</v>
      </c>
      <c r="H162" s="22" t="s">
        <v>21</v>
      </c>
    </row>
    <row r="163" ht="23.1" customHeight="1" spans="1:8">
      <c r="A163" s="5">
        <v>4</v>
      </c>
      <c r="B163" s="5" t="s">
        <v>24</v>
      </c>
      <c r="C163" s="5" t="s">
        <v>28</v>
      </c>
      <c r="H163" s="22" t="s">
        <v>21</v>
      </c>
    </row>
    <row r="164" ht="23.1" customHeight="1" spans="1:8">
      <c r="A164" s="5">
        <v>1</v>
      </c>
      <c r="B164" s="5" t="s">
        <v>29</v>
      </c>
      <c r="C164" s="5" t="s">
        <v>30</v>
      </c>
      <c r="H164" s="22" t="s">
        <v>21</v>
      </c>
    </row>
    <row r="165" ht="23.1" customHeight="1" spans="1:8">
      <c r="A165" s="5">
        <v>2</v>
      </c>
      <c r="B165" s="5" t="s">
        <v>29</v>
      </c>
      <c r="C165" s="5" t="s">
        <v>31</v>
      </c>
      <c r="H165" s="22" t="s">
        <v>21</v>
      </c>
    </row>
    <row r="166" ht="23.1" customHeight="1" spans="1:8">
      <c r="A166" s="5">
        <v>3</v>
      </c>
      <c r="B166" s="5" t="s">
        <v>29</v>
      </c>
      <c r="C166" s="5" t="s">
        <v>32</v>
      </c>
      <c r="H166" s="22" t="s">
        <v>21</v>
      </c>
    </row>
    <row r="167" ht="23.1" customHeight="1" spans="1:8">
      <c r="A167" s="5">
        <v>4</v>
      </c>
      <c r="B167" s="5" t="s">
        <v>29</v>
      </c>
      <c r="C167" s="5" t="s">
        <v>33</v>
      </c>
      <c r="H167" s="22" t="s">
        <v>21</v>
      </c>
    </row>
    <row r="168" ht="23.1" customHeight="1" spans="1:8">
      <c r="A168" s="5">
        <v>5</v>
      </c>
      <c r="B168" s="5" t="s">
        <v>29</v>
      </c>
      <c r="C168" s="5" t="s">
        <v>34</v>
      </c>
      <c r="H168" s="22" t="s">
        <v>21</v>
      </c>
    </row>
    <row r="169" ht="23.1" customHeight="1" spans="1:8">
      <c r="A169" s="5">
        <v>6</v>
      </c>
      <c r="B169" s="5" t="s">
        <v>29</v>
      </c>
      <c r="C169" s="5" t="s">
        <v>35</v>
      </c>
      <c r="H169" s="22" t="s">
        <v>21</v>
      </c>
    </row>
    <row r="170" ht="23.1" customHeight="1" spans="1:8">
      <c r="A170" s="5">
        <v>1</v>
      </c>
      <c r="B170" s="5" t="s">
        <v>36</v>
      </c>
      <c r="C170" s="5" t="s">
        <v>37</v>
      </c>
      <c r="H170" s="22" t="s">
        <v>21</v>
      </c>
    </row>
    <row r="171" ht="23.1" customHeight="1" spans="1:8">
      <c r="A171" s="5">
        <v>2</v>
      </c>
      <c r="B171" s="5" t="s">
        <v>36</v>
      </c>
      <c r="C171" s="5" t="s">
        <v>38</v>
      </c>
      <c r="H171" s="22" t="s">
        <v>21</v>
      </c>
    </row>
    <row r="172" ht="23.1" customHeight="1" spans="1:8">
      <c r="A172" s="5">
        <v>3</v>
      </c>
      <c r="B172" s="5" t="s">
        <v>36</v>
      </c>
      <c r="C172" s="5" t="s">
        <v>39</v>
      </c>
      <c r="H172" s="22" t="s">
        <v>21</v>
      </c>
    </row>
    <row r="173" ht="23.1" customHeight="1" spans="1:8">
      <c r="A173" s="5">
        <v>4</v>
      </c>
      <c r="B173" s="5" t="s">
        <v>36</v>
      </c>
      <c r="C173" s="5" t="s">
        <v>40</v>
      </c>
      <c r="H173" s="22" t="s">
        <v>21</v>
      </c>
    </row>
    <row r="174" ht="23.1" customHeight="1" spans="1:8">
      <c r="A174" s="5">
        <v>5</v>
      </c>
      <c r="B174" s="5" t="s">
        <v>36</v>
      </c>
      <c r="C174" s="5" t="s">
        <v>41</v>
      </c>
      <c r="H174" s="22" t="s">
        <v>21</v>
      </c>
    </row>
    <row r="175" ht="23.1" customHeight="1" spans="1:8">
      <c r="A175" s="5">
        <v>1</v>
      </c>
      <c r="B175" s="5" t="s">
        <v>42</v>
      </c>
      <c r="C175" s="5" t="s">
        <v>43</v>
      </c>
      <c r="H175" s="22" t="s">
        <v>21</v>
      </c>
    </row>
    <row r="176" ht="23.1" customHeight="1" spans="1:8">
      <c r="A176" s="5">
        <v>2</v>
      </c>
      <c r="B176" s="5" t="s">
        <v>42</v>
      </c>
      <c r="C176" s="5" t="s">
        <v>44</v>
      </c>
      <c r="H176" s="22" t="s">
        <v>21</v>
      </c>
    </row>
    <row r="177" ht="23.1" customHeight="1" spans="1:8">
      <c r="A177" s="5">
        <v>3</v>
      </c>
      <c r="B177" s="5" t="s">
        <v>42</v>
      </c>
      <c r="C177" s="5" t="s">
        <v>45</v>
      </c>
      <c r="H177" s="22" t="s">
        <v>21</v>
      </c>
    </row>
    <row r="178" ht="23.1" customHeight="1" spans="1:8">
      <c r="A178" s="5">
        <v>4</v>
      </c>
      <c r="B178" s="5" t="s">
        <v>42</v>
      </c>
      <c r="C178" s="5" t="s">
        <v>46</v>
      </c>
      <c r="H178" s="22" t="s">
        <v>21</v>
      </c>
    </row>
    <row r="179" ht="23.1" customHeight="1" spans="1:8">
      <c r="A179" s="5">
        <v>5</v>
      </c>
      <c r="B179" s="5" t="s">
        <v>42</v>
      </c>
      <c r="C179" s="5" t="s">
        <v>47</v>
      </c>
      <c r="H179" s="22" t="s">
        <v>21</v>
      </c>
    </row>
    <row r="180" ht="23.1" customHeight="1" spans="1:8">
      <c r="A180" s="5">
        <v>6</v>
      </c>
      <c r="B180" s="5" t="s">
        <v>42</v>
      </c>
      <c r="C180" s="5" t="s">
        <v>48</v>
      </c>
      <c r="H180" s="22" t="s">
        <v>21</v>
      </c>
    </row>
    <row r="181" ht="23.1" customHeight="1" spans="1:8">
      <c r="A181" s="5">
        <v>7</v>
      </c>
      <c r="B181" s="5" t="s">
        <v>42</v>
      </c>
      <c r="C181" s="5" t="s">
        <v>49</v>
      </c>
      <c r="H181" s="22" t="s">
        <v>21</v>
      </c>
    </row>
    <row r="182" ht="23.1" customHeight="1" spans="1:8">
      <c r="A182" s="5">
        <v>1</v>
      </c>
      <c r="B182" s="5" t="s">
        <v>50</v>
      </c>
      <c r="C182" s="5" t="s">
        <v>51</v>
      </c>
      <c r="H182" s="22" t="s">
        <v>21</v>
      </c>
    </row>
    <row r="183" ht="23.1" customHeight="1" spans="1:8">
      <c r="A183" s="5">
        <v>2</v>
      </c>
      <c r="B183" s="5" t="s">
        <v>50</v>
      </c>
      <c r="C183" s="5" t="s">
        <v>52</v>
      </c>
      <c r="H183" s="22" t="s">
        <v>21</v>
      </c>
    </row>
    <row r="184" ht="23.1" customHeight="1" spans="1:8">
      <c r="A184" s="5">
        <v>3</v>
      </c>
      <c r="B184" s="5" t="s">
        <v>50</v>
      </c>
      <c r="C184" s="5" t="s">
        <v>53</v>
      </c>
      <c r="H184" s="22" t="s">
        <v>21</v>
      </c>
    </row>
    <row r="185" ht="23.1" customHeight="1" spans="1:8">
      <c r="A185" s="5">
        <v>4</v>
      </c>
      <c r="B185" s="5" t="s">
        <v>50</v>
      </c>
      <c r="C185" s="5" t="s">
        <v>54</v>
      </c>
      <c r="H185" s="22" t="s">
        <v>21</v>
      </c>
    </row>
    <row r="186" ht="23.1" customHeight="1" spans="1:8">
      <c r="A186" s="5">
        <v>5</v>
      </c>
      <c r="B186" s="5" t="s">
        <v>50</v>
      </c>
      <c r="C186" s="5" t="s">
        <v>55</v>
      </c>
      <c r="H186" s="22" t="s">
        <v>21</v>
      </c>
    </row>
    <row r="187" ht="23.1" customHeight="1" spans="1:8">
      <c r="A187" s="5">
        <v>6</v>
      </c>
      <c r="B187" s="5" t="s">
        <v>50</v>
      </c>
      <c r="C187" s="5" t="s">
        <v>56</v>
      </c>
      <c r="H187" s="22" t="s">
        <v>21</v>
      </c>
    </row>
    <row r="188" ht="23.1" customHeight="1" spans="1:8">
      <c r="A188" s="5">
        <v>1</v>
      </c>
      <c r="B188" s="5" t="s">
        <v>57</v>
      </c>
      <c r="C188" s="5" t="s">
        <v>58</v>
      </c>
      <c r="H188" s="22" t="s">
        <v>21</v>
      </c>
    </row>
    <row r="189" ht="23.1" customHeight="1" spans="1:8">
      <c r="A189" s="5">
        <v>2</v>
      </c>
      <c r="B189" s="5" t="s">
        <v>57</v>
      </c>
      <c r="C189" s="5" t="s">
        <v>59</v>
      </c>
      <c r="H189" s="22" t="s">
        <v>21</v>
      </c>
    </row>
    <row r="190" ht="23.1" customHeight="1" spans="1:8">
      <c r="A190" s="5">
        <v>3</v>
      </c>
      <c r="B190" s="5" t="s">
        <v>57</v>
      </c>
      <c r="C190" s="5" t="s">
        <v>60</v>
      </c>
      <c r="H190" s="22" t="s">
        <v>21</v>
      </c>
    </row>
    <row r="191" ht="23.1" customHeight="1" spans="1:8">
      <c r="A191" s="5">
        <v>1</v>
      </c>
      <c r="B191" s="5" t="s">
        <v>61</v>
      </c>
      <c r="C191" s="5" t="s">
        <v>62</v>
      </c>
      <c r="H191" s="22" t="s">
        <v>21</v>
      </c>
    </row>
    <row r="192" ht="23.1" customHeight="1" spans="1:8">
      <c r="A192" s="5">
        <v>2</v>
      </c>
      <c r="B192" s="5" t="s">
        <v>61</v>
      </c>
      <c r="C192" s="5" t="s">
        <v>63</v>
      </c>
      <c r="H192" s="22" t="s">
        <v>21</v>
      </c>
    </row>
    <row r="193" ht="23.1" customHeight="1" spans="1:8">
      <c r="A193" s="5">
        <v>3</v>
      </c>
      <c r="B193" s="5" t="s">
        <v>61</v>
      </c>
      <c r="C193" s="5" t="s">
        <v>64</v>
      </c>
      <c r="H193" s="22" t="s">
        <v>21</v>
      </c>
    </row>
    <row r="194" ht="23.1" customHeight="1" spans="1:8">
      <c r="A194" s="5">
        <v>4</v>
      </c>
      <c r="B194" s="5" t="s">
        <v>61</v>
      </c>
      <c r="C194" s="5" t="s">
        <v>65</v>
      </c>
      <c r="H194" s="22" t="s">
        <v>21</v>
      </c>
    </row>
    <row r="195" ht="23.1" customHeight="1" spans="1:8">
      <c r="A195" s="5">
        <v>5</v>
      </c>
      <c r="B195" s="5" t="s">
        <v>61</v>
      </c>
      <c r="C195" s="5" t="s">
        <v>66</v>
      </c>
      <c r="H195" s="22" t="s">
        <v>21</v>
      </c>
    </row>
    <row r="196" ht="23.1" customHeight="1" spans="1:8">
      <c r="A196" s="5">
        <v>6</v>
      </c>
      <c r="B196" s="5" t="s">
        <v>61</v>
      </c>
      <c r="C196" s="5" t="s">
        <v>67</v>
      </c>
      <c r="H196" s="22" t="s">
        <v>21</v>
      </c>
    </row>
    <row r="197" ht="23.1" customHeight="1" spans="1:8">
      <c r="A197" s="5">
        <v>7</v>
      </c>
      <c r="B197" s="5" t="s">
        <v>61</v>
      </c>
      <c r="C197" s="5" t="s">
        <v>68</v>
      </c>
      <c r="H197" s="22" t="s">
        <v>21</v>
      </c>
    </row>
    <row r="198" ht="23.1" customHeight="1" spans="1:8">
      <c r="A198" s="5">
        <v>8</v>
      </c>
      <c r="B198" s="5" t="s">
        <v>61</v>
      </c>
      <c r="C198" s="5" t="s">
        <v>69</v>
      </c>
      <c r="H198" s="22" t="s">
        <v>21</v>
      </c>
    </row>
    <row r="199" ht="23.1" customHeight="1" spans="1:8">
      <c r="A199" s="5">
        <v>9</v>
      </c>
      <c r="B199" s="5" t="s">
        <v>61</v>
      </c>
      <c r="C199" s="5" t="s">
        <v>70</v>
      </c>
      <c r="H199" s="22" t="s">
        <v>21</v>
      </c>
    </row>
    <row r="200" ht="23.1" customHeight="1" spans="1:8">
      <c r="A200" s="5">
        <v>1</v>
      </c>
      <c r="B200" s="5" t="s">
        <v>71</v>
      </c>
      <c r="C200" s="5" t="s">
        <v>72</v>
      </c>
      <c r="H200" s="22" t="s">
        <v>21</v>
      </c>
    </row>
    <row r="201" ht="23.1" customHeight="1" spans="1:8">
      <c r="A201" s="5">
        <v>2</v>
      </c>
      <c r="B201" s="5" t="s">
        <v>71</v>
      </c>
      <c r="C201" s="5" t="s">
        <v>73</v>
      </c>
      <c r="H201" s="22" t="s">
        <v>21</v>
      </c>
    </row>
    <row r="202" ht="23.1" customHeight="1" spans="1:8">
      <c r="A202" s="5">
        <v>3</v>
      </c>
      <c r="B202" s="5" t="s">
        <v>71</v>
      </c>
      <c r="C202" s="5" t="s">
        <v>74</v>
      </c>
      <c r="H202" s="22" t="s">
        <v>21</v>
      </c>
    </row>
    <row r="203" ht="23.1" customHeight="1" spans="1:8">
      <c r="A203" s="5">
        <v>4</v>
      </c>
      <c r="B203" s="5" t="s">
        <v>71</v>
      </c>
      <c r="C203" s="5" t="s">
        <v>75</v>
      </c>
      <c r="H203" s="22" t="s">
        <v>21</v>
      </c>
    </row>
    <row r="204" ht="23.1" customHeight="1" spans="1:8">
      <c r="A204" s="5">
        <v>5</v>
      </c>
      <c r="B204" s="5" t="s">
        <v>71</v>
      </c>
      <c r="C204" s="5" t="s">
        <v>76</v>
      </c>
      <c r="H204" s="22" t="s">
        <v>21</v>
      </c>
    </row>
    <row r="205" ht="23.1" customHeight="1" spans="1:8">
      <c r="A205" s="5">
        <v>6</v>
      </c>
      <c r="B205" s="5" t="s">
        <v>71</v>
      </c>
      <c r="C205" s="5" t="s">
        <v>77</v>
      </c>
      <c r="H205" s="22" t="s">
        <v>21</v>
      </c>
    </row>
    <row r="206" ht="23.1" customHeight="1" spans="1:8">
      <c r="A206" s="5">
        <v>7</v>
      </c>
      <c r="B206" s="5" t="s">
        <v>71</v>
      </c>
      <c r="C206" s="5" t="s">
        <v>78</v>
      </c>
      <c r="H206" s="22" t="s">
        <v>21</v>
      </c>
    </row>
    <row r="207" ht="23.1" customHeight="1" spans="1:8">
      <c r="A207" s="5">
        <v>8</v>
      </c>
      <c r="B207" s="5" t="s">
        <v>71</v>
      </c>
      <c r="C207" s="5" t="s">
        <v>79</v>
      </c>
      <c r="H207" s="22" t="s">
        <v>21</v>
      </c>
    </row>
    <row r="208" ht="23.1" customHeight="1" spans="1:8">
      <c r="A208" s="5">
        <v>9</v>
      </c>
      <c r="B208" s="5" t="s">
        <v>71</v>
      </c>
      <c r="C208" s="5" t="s">
        <v>80</v>
      </c>
      <c r="H208" s="22" t="s">
        <v>21</v>
      </c>
    </row>
    <row r="209" ht="23.1" customHeight="1" spans="1:8">
      <c r="A209" s="5">
        <v>10</v>
      </c>
      <c r="B209" s="5" t="s">
        <v>71</v>
      </c>
      <c r="C209" s="5" t="s">
        <v>81</v>
      </c>
      <c r="H209" s="22" t="s">
        <v>21</v>
      </c>
    </row>
    <row r="210" ht="23.1" customHeight="1" spans="1:8">
      <c r="A210" s="5">
        <v>11</v>
      </c>
      <c r="B210" s="5" t="s">
        <v>71</v>
      </c>
      <c r="C210" s="5" t="s">
        <v>82</v>
      </c>
      <c r="H210" s="22" t="s">
        <v>21</v>
      </c>
    </row>
    <row r="211" ht="23.1" customHeight="1" spans="1:8">
      <c r="A211" s="5">
        <v>12</v>
      </c>
      <c r="B211" s="5" t="s">
        <v>71</v>
      </c>
      <c r="C211" s="5" t="s">
        <v>83</v>
      </c>
      <c r="H211" s="22" t="s">
        <v>21</v>
      </c>
    </row>
    <row r="212" ht="23.1" customHeight="1" spans="1:8">
      <c r="A212" s="5">
        <v>13</v>
      </c>
      <c r="B212" s="5" t="s">
        <v>71</v>
      </c>
      <c r="C212" s="5" t="s">
        <v>84</v>
      </c>
      <c r="H212" s="22" t="s">
        <v>21</v>
      </c>
    </row>
    <row r="213" ht="23.1" customHeight="1" spans="1:8">
      <c r="A213" s="5">
        <v>14</v>
      </c>
      <c r="B213" s="5" t="s">
        <v>71</v>
      </c>
      <c r="C213" s="5" t="s">
        <v>85</v>
      </c>
      <c r="H213" s="22" t="s">
        <v>21</v>
      </c>
    </row>
    <row r="214" ht="23.1" customHeight="1" spans="1:8">
      <c r="A214" s="5">
        <v>15</v>
      </c>
      <c r="B214" s="5" t="s">
        <v>71</v>
      </c>
      <c r="C214" s="5" t="s">
        <v>86</v>
      </c>
      <c r="H214" s="22" t="s">
        <v>21</v>
      </c>
    </row>
    <row r="215" ht="23.1" customHeight="1" spans="1:8">
      <c r="A215" s="5">
        <v>16</v>
      </c>
      <c r="B215" s="5" t="s">
        <v>71</v>
      </c>
      <c r="C215" s="5" t="s">
        <v>87</v>
      </c>
      <c r="H215" s="22" t="s">
        <v>21</v>
      </c>
    </row>
    <row r="216" ht="23.1" customHeight="1" spans="1:8">
      <c r="A216" s="5">
        <v>1</v>
      </c>
      <c r="B216" s="5" t="s">
        <v>88</v>
      </c>
      <c r="C216" s="5" t="s">
        <v>89</v>
      </c>
      <c r="H216" s="22" t="s">
        <v>21</v>
      </c>
    </row>
    <row r="217" ht="23.1" customHeight="1" spans="1:8">
      <c r="A217" s="5">
        <v>2</v>
      </c>
      <c r="B217" s="5" t="s">
        <v>88</v>
      </c>
      <c r="C217" s="5" t="s">
        <v>90</v>
      </c>
      <c r="H217" s="22" t="s">
        <v>21</v>
      </c>
    </row>
    <row r="218" ht="23.1" customHeight="1" spans="1:8">
      <c r="A218" s="5">
        <v>1</v>
      </c>
      <c r="B218" s="5" t="s">
        <v>91</v>
      </c>
      <c r="C218" s="5" t="s">
        <v>92</v>
      </c>
      <c r="H218" s="22" t="s">
        <v>21</v>
      </c>
    </row>
    <row r="219" ht="23.1" customHeight="1" spans="1:8">
      <c r="A219" s="5">
        <v>2</v>
      </c>
      <c r="B219" s="5" t="s">
        <v>91</v>
      </c>
      <c r="C219" s="5" t="s">
        <v>93</v>
      </c>
      <c r="H219" s="22" t="s">
        <v>21</v>
      </c>
    </row>
    <row r="220" ht="23.1" customHeight="1" spans="1:8">
      <c r="A220" s="5">
        <v>3</v>
      </c>
      <c r="B220" s="5" t="s">
        <v>91</v>
      </c>
      <c r="C220" s="5" t="s">
        <v>94</v>
      </c>
      <c r="H220" s="22" t="s">
        <v>21</v>
      </c>
    </row>
    <row r="221" ht="23.1" customHeight="1" spans="1:8">
      <c r="A221" s="5">
        <v>4</v>
      </c>
      <c r="B221" s="5" t="s">
        <v>91</v>
      </c>
      <c r="C221" s="5" t="s">
        <v>95</v>
      </c>
      <c r="H221" s="22" t="s">
        <v>21</v>
      </c>
    </row>
    <row r="222" ht="23.1" customHeight="1" spans="1:8">
      <c r="A222" s="5">
        <v>5</v>
      </c>
      <c r="B222" s="5" t="s">
        <v>91</v>
      </c>
      <c r="C222" s="5" t="s">
        <v>96</v>
      </c>
      <c r="H222" s="22" t="s">
        <v>21</v>
      </c>
    </row>
    <row r="223" ht="23.1" customHeight="1" spans="1:8">
      <c r="A223" s="5">
        <v>6</v>
      </c>
      <c r="B223" s="5" t="s">
        <v>91</v>
      </c>
      <c r="C223" s="5" t="s">
        <v>97</v>
      </c>
      <c r="H223" s="22" t="s">
        <v>21</v>
      </c>
    </row>
    <row r="224" ht="23.1" customHeight="1" spans="1:8">
      <c r="A224" s="5">
        <v>7</v>
      </c>
      <c r="B224" s="5" t="s">
        <v>91</v>
      </c>
      <c r="C224" s="5" t="s">
        <v>98</v>
      </c>
      <c r="H224" s="22" t="s">
        <v>21</v>
      </c>
    </row>
    <row r="225" ht="23.1" customHeight="1" spans="1:8">
      <c r="A225" s="5">
        <v>8</v>
      </c>
      <c r="B225" s="5" t="s">
        <v>91</v>
      </c>
      <c r="C225" s="5" t="s">
        <v>99</v>
      </c>
      <c r="H225" s="22" t="s">
        <v>21</v>
      </c>
    </row>
    <row r="226" ht="23.1" customHeight="1" spans="1:8">
      <c r="A226" s="5">
        <v>9</v>
      </c>
      <c r="B226" s="5" t="s">
        <v>91</v>
      </c>
      <c r="C226" s="5" t="s">
        <v>100</v>
      </c>
      <c r="H226" s="22" t="s">
        <v>21</v>
      </c>
    </row>
    <row r="227" ht="23.1" customHeight="1" spans="1:8">
      <c r="A227" s="5">
        <v>10</v>
      </c>
      <c r="B227" s="5" t="s">
        <v>91</v>
      </c>
      <c r="C227" s="5" t="s">
        <v>101</v>
      </c>
      <c r="H227" s="22" t="s">
        <v>21</v>
      </c>
    </row>
    <row r="228" ht="23.1" customHeight="1" spans="1:8">
      <c r="A228" s="5">
        <v>11</v>
      </c>
      <c r="B228" s="5" t="s">
        <v>91</v>
      </c>
      <c r="C228" s="5" t="s">
        <v>102</v>
      </c>
      <c r="H228" s="22" t="s">
        <v>21</v>
      </c>
    </row>
    <row r="229" ht="23.1" customHeight="1" spans="1:8">
      <c r="A229" s="5">
        <v>1</v>
      </c>
      <c r="B229" s="5" t="s">
        <v>103</v>
      </c>
      <c r="C229" s="5" t="s">
        <v>104</v>
      </c>
      <c r="H229" s="22" t="s">
        <v>21</v>
      </c>
    </row>
    <row r="230" ht="23.1" customHeight="1" spans="1:8">
      <c r="A230" s="5">
        <v>2</v>
      </c>
      <c r="B230" s="5" t="s">
        <v>103</v>
      </c>
      <c r="C230" s="5" t="s">
        <v>105</v>
      </c>
      <c r="H230" s="22" t="s">
        <v>21</v>
      </c>
    </row>
    <row r="231" ht="23.1" customHeight="1" spans="1:8">
      <c r="A231" s="5">
        <v>3</v>
      </c>
      <c r="B231" s="5" t="s">
        <v>103</v>
      </c>
      <c r="C231" s="5" t="s">
        <v>106</v>
      </c>
      <c r="H231" s="22" t="s">
        <v>21</v>
      </c>
    </row>
    <row r="232" ht="23.1" customHeight="1" spans="1:8">
      <c r="A232" s="5">
        <v>4</v>
      </c>
      <c r="B232" s="5" t="s">
        <v>103</v>
      </c>
      <c r="C232" s="5" t="s">
        <v>107</v>
      </c>
      <c r="H232" s="22" t="s">
        <v>21</v>
      </c>
    </row>
    <row r="233" ht="23.1" customHeight="1" spans="1:8">
      <c r="A233" s="5">
        <v>1</v>
      </c>
      <c r="B233" s="5" t="s">
        <v>108</v>
      </c>
      <c r="C233" s="5" t="str">
        <f>"田大皓"</f>
        <v>田大皓</v>
      </c>
      <c r="H233" s="22" t="s">
        <v>21</v>
      </c>
    </row>
    <row r="234" ht="23.1" customHeight="1" spans="1:8">
      <c r="A234" s="5">
        <v>1</v>
      </c>
      <c r="B234" s="5" t="s">
        <v>109</v>
      </c>
      <c r="C234" s="5" t="s">
        <v>110</v>
      </c>
      <c r="H234" s="22" t="s">
        <v>111</v>
      </c>
    </row>
    <row r="235" ht="23.1" customHeight="1" spans="1:8">
      <c r="A235" s="5">
        <v>2</v>
      </c>
      <c r="B235" s="5" t="s">
        <v>109</v>
      </c>
      <c r="C235" s="5" t="s">
        <v>112</v>
      </c>
      <c r="H235" s="22" t="s">
        <v>111</v>
      </c>
    </row>
    <row r="236" ht="23.1" customHeight="1" spans="1:8">
      <c r="A236" s="5">
        <v>3</v>
      </c>
      <c r="B236" s="5" t="s">
        <v>109</v>
      </c>
      <c r="C236" s="5" t="s">
        <v>113</v>
      </c>
      <c r="H236" s="22" t="s">
        <v>111</v>
      </c>
    </row>
    <row r="237" ht="23.1" customHeight="1" spans="1:8">
      <c r="A237" s="5">
        <v>4</v>
      </c>
      <c r="B237" s="5" t="s">
        <v>109</v>
      </c>
      <c r="C237" s="5" t="s">
        <v>114</v>
      </c>
      <c r="H237" s="22" t="s">
        <v>111</v>
      </c>
    </row>
    <row r="238" ht="23.1" customHeight="1" spans="1:8">
      <c r="A238" s="5">
        <v>5</v>
      </c>
      <c r="B238" s="5" t="s">
        <v>109</v>
      </c>
      <c r="C238" s="5" t="s">
        <v>115</v>
      </c>
      <c r="H238" s="22" t="s">
        <v>111</v>
      </c>
    </row>
    <row r="239" ht="23.1" customHeight="1" spans="1:8">
      <c r="A239" s="5">
        <v>6</v>
      </c>
      <c r="B239" s="5" t="s">
        <v>109</v>
      </c>
      <c r="C239" s="5" t="s">
        <v>116</v>
      </c>
      <c r="H239" s="22" t="s">
        <v>111</v>
      </c>
    </row>
    <row r="240" ht="23.1" customHeight="1" spans="1:8">
      <c r="A240" s="5">
        <v>1</v>
      </c>
      <c r="B240" s="5" t="s">
        <v>117</v>
      </c>
      <c r="C240" s="5" t="s">
        <v>118</v>
      </c>
      <c r="H240" s="22" t="s">
        <v>111</v>
      </c>
    </row>
    <row r="241" ht="23.1" customHeight="1" spans="1:8">
      <c r="A241" s="5">
        <v>2</v>
      </c>
      <c r="B241" s="5" t="s">
        <v>117</v>
      </c>
      <c r="C241" s="5" t="s">
        <v>119</v>
      </c>
      <c r="H241" s="22" t="s">
        <v>111</v>
      </c>
    </row>
    <row r="242" ht="23.1" customHeight="1" spans="1:8">
      <c r="A242" s="5">
        <v>3</v>
      </c>
      <c r="B242" s="5" t="s">
        <v>117</v>
      </c>
      <c r="C242" s="5" t="s">
        <v>120</v>
      </c>
      <c r="H242" s="22" t="s">
        <v>111</v>
      </c>
    </row>
    <row r="243" ht="23.1" customHeight="1" spans="1:8">
      <c r="A243" s="5">
        <v>4</v>
      </c>
      <c r="B243" s="5" t="s">
        <v>117</v>
      </c>
      <c r="C243" s="5" t="s">
        <v>121</v>
      </c>
      <c r="H243" s="22" t="s">
        <v>111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opLeftCell="A97" workbookViewId="0">
      <selection activeCell="K102" sqref="K102"/>
    </sheetView>
  </sheetViews>
  <sheetFormatPr defaultColWidth="9" defaultRowHeight="14" outlineLevelCol="7"/>
  <cols>
    <col min="1" max="1" width="6.87272727272727" style="4" customWidth="1"/>
    <col min="2" max="2" width="24" style="4" customWidth="1"/>
    <col min="3" max="3" width="10.5" style="4" customWidth="1"/>
    <col min="4" max="4" width="14.3727272727273" style="4" customWidth="1"/>
    <col min="5" max="5" width="9.87272727272727" style="4" customWidth="1"/>
    <col min="6" max="6" width="9.25454545454545" style="4" customWidth="1"/>
    <col min="7" max="7" width="9.75454545454545" style="4" customWidth="1"/>
    <col min="8" max="8" width="21.1272727272727" style="4" customWidth="1"/>
    <col min="9" max="16384" width="9" style="4"/>
  </cols>
  <sheetData>
    <row r="1" ht="27.75" customHeight="1" spans="1:8">
      <c r="A1" s="5" t="s">
        <v>0</v>
      </c>
      <c r="B1" s="5" t="s">
        <v>1</v>
      </c>
      <c r="C1" s="5" t="s">
        <v>2</v>
      </c>
      <c r="D1" s="5" t="s">
        <v>3</v>
      </c>
      <c r="E1" s="15" t="s">
        <v>4</v>
      </c>
      <c r="F1" s="5" t="s">
        <v>5</v>
      </c>
      <c r="G1" s="5" t="s">
        <v>6</v>
      </c>
      <c r="H1" s="15" t="s">
        <v>7</v>
      </c>
    </row>
    <row r="2" ht="27.75" customHeight="1" spans="1:8">
      <c r="A2" s="5">
        <v>1</v>
      </c>
      <c r="B2" s="16" t="s">
        <v>122</v>
      </c>
      <c r="C2" s="16" t="str">
        <f>"杨婉婷"</f>
        <v>杨婉婷</v>
      </c>
      <c r="D2" s="16" t="str">
        <f>"2020020121"</f>
        <v>2020020121</v>
      </c>
      <c r="E2" s="17">
        <v>80.6</v>
      </c>
      <c r="F2" s="17"/>
      <c r="G2" s="17"/>
      <c r="H2" s="8"/>
    </row>
    <row r="3" ht="27.75" customHeight="1" spans="1:8">
      <c r="A3" s="5">
        <v>2</v>
      </c>
      <c r="B3" s="16" t="s">
        <v>122</v>
      </c>
      <c r="C3" s="16" t="str">
        <f>"王琼艳"</f>
        <v>王琼艳</v>
      </c>
      <c r="D3" s="16" t="str">
        <f>"2020020123"</f>
        <v>2020020123</v>
      </c>
      <c r="E3" s="17">
        <v>77.4</v>
      </c>
      <c r="F3" s="17"/>
      <c r="G3" s="17"/>
      <c r="H3" s="8"/>
    </row>
    <row r="4" ht="27.75" customHeight="1" spans="1:8">
      <c r="A4" s="5">
        <v>3</v>
      </c>
      <c r="B4" s="16" t="s">
        <v>122</v>
      </c>
      <c r="C4" s="16" t="str">
        <f>"周旋"</f>
        <v>周旋</v>
      </c>
      <c r="D4" s="16" t="str">
        <f>"2020020204"</f>
        <v>2020020204</v>
      </c>
      <c r="E4" s="17">
        <v>75.6</v>
      </c>
      <c r="F4" s="17"/>
      <c r="G4" s="17"/>
      <c r="H4" s="8"/>
    </row>
    <row r="5" ht="27.75" customHeight="1" spans="1:8">
      <c r="A5" s="5">
        <v>4</v>
      </c>
      <c r="B5" s="16" t="s">
        <v>122</v>
      </c>
      <c r="C5" s="16" t="str">
        <f>"王静"</f>
        <v>王静</v>
      </c>
      <c r="D5" s="16" t="str">
        <f>"2020020124"</f>
        <v>2020020124</v>
      </c>
      <c r="E5" s="17">
        <v>72.6</v>
      </c>
      <c r="F5" s="17"/>
      <c r="G5" s="17"/>
      <c r="H5" s="8"/>
    </row>
    <row r="6" ht="27.75" customHeight="1" spans="1:8">
      <c r="A6" s="5">
        <v>5</v>
      </c>
      <c r="B6" s="16" t="s">
        <v>122</v>
      </c>
      <c r="C6" s="16" t="str">
        <f>"杨晴晴"</f>
        <v>杨晴晴</v>
      </c>
      <c r="D6" s="16" t="str">
        <f>"2020020205"</f>
        <v>2020020205</v>
      </c>
      <c r="E6" s="17">
        <v>69.4</v>
      </c>
      <c r="F6" s="17"/>
      <c r="G6" s="17"/>
      <c r="H6" s="8"/>
    </row>
    <row r="7" ht="27.75" customHeight="1" spans="1:8">
      <c r="A7" s="5">
        <v>6</v>
      </c>
      <c r="B7" s="16" t="s">
        <v>122</v>
      </c>
      <c r="C7" s="16" t="str">
        <f>"刘玮琪"</f>
        <v>刘玮琪</v>
      </c>
      <c r="D7" s="16" t="str">
        <f>"2020020126"</f>
        <v>2020020126</v>
      </c>
      <c r="E7" s="17">
        <v>61.4</v>
      </c>
      <c r="F7" s="17"/>
      <c r="G7" s="17"/>
      <c r="H7" s="8"/>
    </row>
    <row r="8" ht="27.75" customHeight="1" spans="1:8">
      <c r="A8" s="5">
        <v>1</v>
      </c>
      <c r="B8" s="16" t="s">
        <v>123</v>
      </c>
      <c r="C8" s="16" t="str">
        <f>"胡向前"</f>
        <v>胡向前</v>
      </c>
      <c r="D8" s="16" t="str">
        <f>"2020022105"</f>
        <v>2020022105</v>
      </c>
      <c r="E8" s="17">
        <v>66.8</v>
      </c>
      <c r="F8" s="17"/>
      <c r="G8" s="17"/>
      <c r="H8" s="8"/>
    </row>
    <row r="9" ht="27.75" customHeight="1" spans="1:8">
      <c r="A9" s="5">
        <v>2</v>
      </c>
      <c r="B9" s="16" t="s">
        <v>123</v>
      </c>
      <c r="C9" s="16" t="str">
        <f>"燕萍"</f>
        <v>燕萍</v>
      </c>
      <c r="D9" s="16" t="str">
        <f>"2020022118"</f>
        <v>2020022118</v>
      </c>
      <c r="E9" s="17">
        <v>65.2</v>
      </c>
      <c r="F9" s="17"/>
      <c r="G9" s="17"/>
      <c r="H9" s="8"/>
    </row>
    <row r="10" ht="27.75" customHeight="1" spans="1:8">
      <c r="A10" s="5">
        <v>3</v>
      </c>
      <c r="B10" s="16" t="s">
        <v>123</v>
      </c>
      <c r="C10" s="16" t="str">
        <f>"曹培琴"</f>
        <v>曹培琴</v>
      </c>
      <c r="D10" s="16" t="str">
        <f>"2020022121"</f>
        <v>2020022121</v>
      </c>
      <c r="E10" s="17">
        <v>65.2</v>
      </c>
      <c r="F10" s="17"/>
      <c r="G10" s="17"/>
      <c r="H10" s="8"/>
    </row>
    <row r="11" ht="27.75" customHeight="1" spans="1:8">
      <c r="A11" s="5">
        <v>4</v>
      </c>
      <c r="B11" s="16" t="s">
        <v>123</v>
      </c>
      <c r="C11" s="16" t="str">
        <f>"王季红"</f>
        <v>王季红</v>
      </c>
      <c r="D11" s="16" t="str">
        <f>"2020022110"</f>
        <v>2020022110</v>
      </c>
      <c r="E11" s="17">
        <v>62.4</v>
      </c>
      <c r="F11" s="17"/>
      <c r="G11" s="17"/>
      <c r="H11" s="8"/>
    </row>
    <row r="12" ht="27.75" customHeight="1" spans="1:8">
      <c r="A12" s="5">
        <v>1</v>
      </c>
      <c r="B12" s="16" t="s">
        <v>124</v>
      </c>
      <c r="C12" s="16" t="str">
        <f>"陈国强"</f>
        <v>陈国强</v>
      </c>
      <c r="D12" s="16" t="str">
        <f>"2020022904"</f>
        <v>2020022904</v>
      </c>
      <c r="E12" s="17">
        <v>64.4</v>
      </c>
      <c r="F12" s="17"/>
      <c r="G12" s="17"/>
      <c r="H12" s="8"/>
    </row>
    <row r="13" ht="27.75" customHeight="1" spans="1:8">
      <c r="A13" s="5">
        <v>1</v>
      </c>
      <c r="B13" s="16" t="s">
        <v>125</v>
      </c>
      <c r="C13" s="16" t="str">
        <f>"赵怡君"</f>
        <v>赵怡君</v>
      </c>
      <c r="D13" s="16" t="str">
        <f>"2020020425"</f>
        <v>2020020425</v>
      </c>
      <c r="E13" s="17">
        <v>91.8</v>
      </c>
      <c r="F13" s="17"/>
      <c r="G13" s="17"/>
      <c r="H13" s="8"/>
    </row>
    <row r="14" ht="27.75" customHeight="1" spans="1:8">
      <c r="A14" s="5">
        <v>2</v>
      </c>
      <c r="B14" s="16" t="s">
        <v>125</v>
      </c>
      <c r="C14" s="16" t="str">
        <f>"徐娟"</f>
        <v>徐娟</v>
      </c>
      <c r="D14" s="16" t="str">
        <f>"2020020430"</f>
        <v>2020020430</v>
      </c>
      <c r="E14" s="17">
        <v>88</v>
      </c>
      <c r="F14" s="17"/>
      <c r="G14" s="17"/>
      <c r="H14" s="8"/>
    </row>
    <row r="15" ht="27.75" customHeight="1" spans="1:8">
      <c r="A15" s="5">
        <v>1</v>
      </c>
      <c r="B15" s="16" t="s">
        <v>126</v>
      </c>
      <c r="C15" s="16" t="str">
        <f>"李光明"</f>
        <v>李光明</v>
      </c>
      <c r="D15" s="16" t="str">
        <f>"2020022915"</f>
        <v>2020022915</v>
      </c>
      <c r="E15" s="17">
        <v>56.4</v>
      </c>
      <c r="F15" s="17"/>
      <c r="G15" s="17"/>
      <c r="H15" s="8"/>
    </row>
    <row r="16" ht="27.75" customHeight="1" spans="1:8">
      <c r="A16" s="5">
        <v>2</v>
      </c>
      <c r="B16" s="16" t="s">
        <v>126</v>
      </c>
      <c r="C16" s="16" t="str">
        <f>"宋丽"</f>
        <v>宋丽</v>
      </c>
      <c r="D16" s="16" t="str">
        <f>"2020022912"</f>
        <v>2020022912</v>
      </c>
      <c r="E16" s="17">
        <v>56.2</v>
      </c>
      <c r="F16" s="17"/>
      <c r="G16" s="17"/>
      <c r="H16" s="8"/>
    </row>
    <row r="17" ht="27.75" customHeight="1" spans="1:8">
      <c r="A17" s="5">
        <v>1</v>
      </c>
      <c r="B17" s="16" t="s">
        <v>127</v>
      </c>
      <c r="C17" s="16" t="str">
        <f>"侯笑笑"</f>
        <v>侯笑笑</v>
      </c>
      <c r="D17" s="16" t="str">
        <f>"2020024626"</f>
        <v>2020024626</v>
      </c>
      <c r="E17" s="17">
        <v>68.2</v>
      </c>
      <c r="F17" s="17"/>
      <c r="G17" s="17"/>
      <c r="H17" s="8"/>
    </row>
    <row r="18" ht="27.75" customHeight="1" spans="1:8">
      <c r="A18" s="5">
        <v>2</v>
      </c>
      <c r="B18" s="16" t="s">
        <v>127</v>
      </c>
      <c r="C18" s="16" t="str">
        <f>"营曼曼"</f>
        <v>营曼曼</v>
      </c>
      <c r="D18" s="16" t="str">
        <f>"2020024623"</f>
        <v>2020024623</v>
      </c>
      <c r="E18" s="17">
        <v>64.8</v>
      </c>
      <c r="F18" s="17"/>
      <c r="G18" s="17"/>
      <c r="H18" s="8"/>
    </row>
    <row r="19" ht="27.75" customHeight="1" spans="1:8">
      <c r="A19" s="5">
        <v>3</v>
      </c>
      <c r="B19" s="16" t="s">
        <v>127</v>
      </c>
      <c r="C19" s="16" t="str">
        <f>"李文静"</f>
        <v>李文静</v>
      </c>
      <c r="D19" s="16" t="str">
        <f>"2020024627"</f>
        <v>2020024627</v>
      </c>
      <c r="E19" s="17">
        <v>61.6</v>
      </c>
      <c r="F19" s="17"/>
      <c r="G19" s="17"/>
      <c r="H19" s="8"/>
    </row>
    <row r="20" ht="27.75" customHeight="1" spans="1:8">
      <c r="A20" s="5">
        <v>4</v>
      </c>
      <c r="B20" s="16" t="s">
        <v>127</v>
      </c>
      <c r="C20" s="16" t="str">
        <f>"张晶晶"</f>
        <v>张晶晶</v>
      </c>
      <c r="D20" s="16" t="str">
        <f>"2020024624"</f>
        <v>2020024624</v>
      </c>
      <c r="E20" s="17">
        <v>57.6</v>
      </c>
      <c r="F20" s="17"/>
      <c r="G20" s="17"/>
      <c r="H20" s="8"/>
    </row>
    <row r="21" ht="27.75" customHeight="1" spans="1:8">
      <c r="A21" s="5">
        <v>1</v>
      </c>
      <c r="B21" s="16" t="s">
        <v>128</v>
      </c>
      <c r="C21" s="16" t="str">
        <f>"王金"</f>
        <v>王金</v>
      </c>
      <c r="D21" s="16" t="str">
        <f>"2020024904"</f>
        <v>2020024904</v>
      </c>
      <c r="E21" s="17">
        <v>80.8</v>
      </c>
      <c r="F21" s="17"/>
      <c r="G21" s="17"/>
      <c r="H21" s="8"/>
    </row>
    <row r="22" ht="27.75" customHeight="1" spans="1:8">
      <c r="A22" s="5">
        <v>2</v>
      </c>
      <c r="B22" s="16" t="s">
        <v>128</v>
      </c>
      <c r="C22" s="16" t="str">
        <f>"温露露"</f>
        <v>温露露</v>
      </c>
      <c r="D22" s="16" t="str">
        <f>"2020025019"</f>
        <v>2020025019</v>
      </c>
      <c r="E22" s="17">
        <v>77.8</v>
      </c>
      <c r="F22" s="17"/>
      <c r="G22" s="17"/>
      <c r="H22" s="8"/>
    </row>
    <row r="23" ht="27.75" customHeight="1" spans="1:8">
      <c r="A23" s="5">
        <v>3</v>
      </c>
      <c r="B23" s="16" t="s">
        <v>128</v>
      </c>
      <c r="C23" s="16" t="str">
        <f>"任丽"</f>
        <v>任丽</v>
      </c>
      <c r="D23" s="16" t="str">
        <f>"2020024709"</f>
        <v>2020024709</v>
      </c>
      <c r="E23" s="17">
        <v>75.8</v>
      </c>
      <c r="F23" s="17"/>
      <c r="G23" s="17"/>
      <c r="H23" s="8"/>
    </row>
    <row r="24" ht="27.75" customHeight="1" spans="1:8">
      <c r="A24" s="5">
        <v>4</v>
      </c>
      <c r="B24" s="16" t="s">
        <v>128</v>
      </c>
      <c r="C24" s="16" t="str">
        <f>"王玲"</f>
        <v>王玲</v>
      </c>
      <c r="D24" s="16" t="str">
        <f>"2020024815"</f>
        <v>2020024815</v>
      </c>
      <c r="E24" s="17">
        <v>75</v>
      </c>
      <c r="F24" s="17"/>
      <c r="G24" s="17"/>
      <c r="H24" s="8"/>
    </row>
    <row r="25" ht="27.75" customHeight="1" spans="1:8">
      <c r="A25" s="5">
        <v>5</v>
      </c>
      <c r="B25" s="16" t="s">
        <v>128</v>
      </c>
      <c r="C25" s="16" t="str">
        <f>"赵童童"</f>
        <v>赵童童</v>
      </c>
      <c r="D25" s="16" t="str">
        <f>"2020024802"</f>
        <v>2020024802</v>
      </c>
      <c r="E25" s="17">
        <v>74.8</v>
      </c>
      <c r="F25" s="17"/>
      <c r="G25" s="17"/>
      <c r="H25" s="8"/>
    </row>
    <row r="26" ht="27.75" customHeight="1" spans="1:8">
      <c r="A26" s="5">
        <v>6</v>
      </c>
      <c r="B26" s="16" t="s">
        <v>128</v>
      </c>
      <c r="C26" s="16" t="str">
        <f>"李洁"</f>
        <v>李洁</v>
      </c>
      <c r="D26" s="16" t="str">
        <f>"2020024630"</f>
        <v>2020024630</v>
      </c>
      <c r="E26" s="17">
        <v>74.4</v>
      </c>
      <c r="F26" s="17"/>
      <c r="G26" s="17"/>
      <c r="H26" s="8"/>
    </row>
    <row r="27" ht="27.75" customHeight="1" spans="1:8">
      <c r="A27" s="5">
        <v>7</v>
      </c>
      <c r="B27" s="16" t="s">
        <v>128</v>
      </c>
      <c r="C27" s="16" t="str">
        <f>"王秋怡"</f>
        <v>王秋怡</v>
      </c>
      <c r="D27" s="16" t="str">
        <f>"2020024719"</f>
        <v>2020024719</v>
      </c>
      <c r="E27" s="17">
        <v>74</v>
      </c>
      <c r="F27" s="17"/>
      <c r="G27" s="17"/>
      <c r="H27" s="8"/>
    </row>
    <row r="28" ht="27.75" customHeight="1" spans="1:8">
      <c r="A28" s="5">
        <v>8</v>
      </c>
      <c r="B28" s="16" t="s">
        <v>128</v>
      </c>
      <c r="C28" s="16" t="str">
        <f>"张娟"</f>
        <v>张娟</v>
      </c>
      <c r="D28" s="16" t="str">
        <f>"2020024821"</f>
        <v>2020024821</v>
      </c>
      <c r="E28" s="17">
        <v>73.8</v>
      </c>
      <c r="F28" s="17"/>
      <c r="G28" s="17"/>
      <c r="H28" s="8"/>
    </row>
    <row r="29" ht="27.75" customHeight="1" spans="1:8">
      <c r="A29" s="5">
        <v>9</v>
      </c>
      <c r="B29" s="16" t="s">
        <v>128</v>
      </c>
      <c r="C29" s="16" t="str">
        <f>"江洁梅"</f>
        <v>江洁梅</v>
      </c>
      <c r="D29" s="16" t="str">
        <f>"2020025005"</f>
        <v>2020025005</v>
      </c>
      <c r="E29" s="17">
        <v>72.6</v>
      </c>
      <c r="F29" s="17"/>
      <c r="G29" s="17"/>
      <c r="H29" s="8"/>
    </row>
    <row r="30" ht="27.75" customHeight="1" spans="1:8">
      <c r="A30" s="5">
        <v>10</v>
      </c>
      <c r="B30" s="16" t="s">
        <v>128</v>
      </c>
      <c r="C30" s="16" t="str">
        <f>"刘静"</f>
        <v>刘静</v>
      </c>
      <c r="D30" s="16" t="str">
        <f>"2020025025"</f>
        <v>2020025025</v>
      </c>
      <c r="E30" s="17">
        <v>72.6</v>
      </c>
      <c r="F30" s="17"/>
      <c r="G30" s="17"/>
      <c r="H30" s="8"/>
    </row>
    <row r="31" ht="27.75" customHeight="1" spans="1:8">
      <c r="A31" s="5">
        <v>1</v>
      </c>
      <c r="B31" s="16" t="s">
        <v>129</v>
      </c>
      <c r="C31" s="16" t="str">
        <f>"毛枭撼"</f>
        <v>毛枭撼</v>
      </c>
      <c r="D31" s="16" t="str">
        <f>"2020022826"</f>
        <v>2020022826</v>
      </c>
      <c r="E31" s="17">
        <v>64.2</v>
      </c>
      <c r="F31" s="17"/>
      <c r="G31" s="17"/>
      <c r="H31" s="8"/>
    </row>
    <row r="32" ht="27.75" customHeight="1" spans="1:8">
      <c r="A32" s="5">
        <v>1</v>
      </c>
      <c r="B32" s="16" t="s">
        <v>130</v>
      </c>
      <c r="C32" s="16" t="str">
        <f>"宋敏"</f>
        <v>宋敏</v>
      </c>
      <c r="D32" s="16" t="str">
        <f>"2020020226"</f>
        <v>2020020226</v>
      </c>
      <c r="E32" s="17">
        <v>89.6</v>
      </c>
      <c r="F32" s="17"/>
      <c r="G32" s="17"/>
      <c r="H32" s="8"/>
    </row>
    <row r="33" ht="27.75" customHeight="1" spans="1:8">
      <c r="A33" s="5">
        <v>2</v>
      </c>
      <c r="B33" s="16" t="s">
        <v>130</v>
      </c>
      <c r="C33" s="16" t="str">
        <f>"王玉龙"</f>
        <v>王玉龙</v>
      </c>
      <c r="D33" s="16" t="str">
        <f>"2020020211"</f>
        <v>2020020211</v>
      </c>
      <c r="E33" s="17">
        <v>84.6</v>
      </c>
      <c r="F33" s="17">
        <v>10</v>
      </c>
      <c r="G33" s="17">
        <v>94.6</v>
      </c>
      <c r="H33" s="9" t="s">
        <v>9</v>
      </c>
    </row>
    <row r="34" ht="27.75" customHeight="1" spans="1:8">
      <c r="A34" s="5">
        <v>3</v>
      </c>
      <c r="B34" s="16" t="s">
        <v>130</v>
      </c>
      <c r="C34" s="16" t="str">
        <f>"王玉婷"</f>
        <v>王玉婷</v>
      </c>
      <c r="D34" s="16" t="str">
        <f>"2020020224"</f>
        <v>2020020224</v>
      </c>
      <c r="E34" s="17">
        <v>78.6</v>
      </c>
      <c r="F34" s="17"/>
      <c r="G34" s="17"/>
      <c r="H34" s="8"/>
    </row>
    <row r="35" ht="27.75" customHeight="1" spans="1:8">
      <c r="A35" s="5">
        <v>4</v>
      </c>
      <c r="B35" s="16" t="s">
        <v>130</v>
      </c>
      <c r="C35" s="16" t="str">
        <f>"马萍萍"</f>
        <v>马萍萍</v>
      </c>
      <c r="D35" s="16" t="str">
        <f>"2020020220"</f>
        <v>2020020220</v>
      </c>
      <c r="E35" s="17">
        <v>77.4</v>
      </c>
      <c r="F35" s="17"/>
      <c r="G35" s="17"/>
      <c r="H35" s="8"/>
    </row>
    <row r="36" ht="27.75" customHeight="1" spans="1:8">
      <c r="A36" s="5">
        <v>5</v>
      </c>
      <c r="B36" s="16" t="s">
        <v>130</v>
      </c>
      <c r="C36" s="16" t="str">
        <f>"任小倩"</f>
        <v>任小倩</v>
      </c>
      <c r="D36" s="16" t="str">
        <f>"2020020218"</f>
        <v>2020020218</v>
      </c>
      <c r="E36" s="17">
        <v>77.2</v>
      </c>
      <c r="F36" s="17"/>
      <c r="G36" s="17"/>
      <c r="H36" s="8"/>
    </row>
    <row r="37" ht="27.75" customHeight="1" spans="1:8">
      <c r="A37" s="5">
        <v>6</v>
      </c>
      <c r="B37" s="16" t="s">
        <v>130</v>
      </c>
      <c r="C37" s="16" t="str">
        <f>"王迪楠"</f>
        <v>王迪楠</v>
      </c>
      <c r="D37" s="16" t="str">
        <f>"2020020212"</f>
        <v>2020020212</v>
      </c>
      <c r="E37" s="17">
        <v>75.8</v>
      </c>
      <c r="F37" s="17"/>
      <c r="G37" s="17"/>
      <c r="H37" s="8"/>
    </row>
    <row r="38" ht="27.75" customHeight="1" spans="1:8">
      <c r="A38" s="5">
        <v>1</v>
      </c>
      <c r="B38" s="16" t="s">
        <v>131</v>
      </c>
      <c r="C38" s="16" t="str">
        <f>"焦丽媛"</f>
        <v>焦丽媛</v>
      </c>
      <c r="D38" s="16" t="str">
        <f>"2020020326"</f>
        <v>2020020326</v>
      </c>
      <c r="E38" s="17">
        <v>79.6</v>
      </c>
      <c r="F38" s="17"/>
      <c r="G38" s="17"/>
      <c r="H38" s="8"/>
    </row>
    <row r="39" ht="27.75" customHeight="1" spans="1:8">
      <c r="A39" s="5">
        <v>2</v>
      </c>
      <c r="B39" s="16" t="s">
        <v>131</v>
      </c>
      <c r="C39" s="16" t="str">
        <f>"张玉"</f>
        <v>张玉</v>
      </c>
      <c r="D39" s="16" t="str">
        <f>"2020020304"</f>
        <v>2020020304</v>
      </c>
      <c r="E39" s="17">
        <v>75.8</v>
      </c>
      <c r="F39" s="17"/>
      <c r="G39" s="17"/>
      <c r="H39" s="8"/>
    </row>
    <row r="40" ht="27.75" customHeight="1" spans="1:8">
      <c r="A40" s="5">
        <v>3</v>
      </c>
      <c r="B40" s="16" t="s">
        <v>131</v>
      </c>
      <c r="C40" s="16" t="str">
        <f>"施艾每"</f>
        <v>施艾每</v>
      </c>
      <c r="D40" s="16" t="str">
        <f>"2020020325"</f>
        <v>2020020325</v>
      </c>
      <c r="E40" s="17">
        <v>74.6</v>
      </c>
      <c r="F40" s="17"/>
      <c r="G40" s="17"/>
      <c r="H40" s="8"/>
    </row>
    <row r="41" ht="27.75" customHeight="1" spans="1:8">
      <c r="A41" s="5">
        <v>4</v>
      </c>
      <c r="B41" s="16" t="s">
        <v>131</v>
      </c>
      <c r="C41" s="16" t="str">
        <f>"王秀冬"</f>
        <v>王秀冬</v>
      </c>
      <c r="D41" s="16" t="str">
        <f>"2020020327"</f>
        <v>2020020327</v>
      </c>
      <c r="E41" s="17">
        <v>74.6</v>
      </c>
      <c r="F41" s="17"/>
      <c r="G41" s="17"/>
      <c r="H41" s="8"/>
    </row>
    <row r="42" ht="27.75" customHeight="1" spans="1:8">
      <c r="A42" s="5">
        <v>5</v>
      </c>
      <c r="B42" s="16" t="s">
        <v>131</v>
      </c>
      <c r="C42" s="16" t="str">
        <f>"石薇薇"</f>
        <v>石薇薇</v>
      </c>
      <c r="D42" s="16" t="str">
        <f>"2020020318"</f>
        <v>2020020318</v>
      </c>
      <c r="E42" s="17">
        <v>70.8</v>
      </c>
      <c r="F42" s="17"/>
      <c r="G42" s="17"/>
      <c r="H42" s="8"/>
    </row>
    <row r="43" ht="27.75" customHeight="1" spans="1:8">
      <c r="A43" s="5">
        <v>6</v>
      </c>
      <c r="B43" s="16" t="s">
        <v>131</v>
      </c>
      <c r="C43" s="16" t="str">
        <f>"李文静"</f>
        <v>李文静</v>
      </c>
      <c r="D43" s="16" t="str">
        <f>"2020020311"</f>
        <v>2020020311</v>
      </c>
      <c r="E43" s="17">
        <v>68.4</v>
      </c>
      <c r="F43" s="17"/>
      <c r="G43" s="17"/>
      <c r="H43" s="8"/>
    </row>
    <row r="44" ht="27.75" customHeight="1" spans="1:8">
      <c r="A44" s="5">
        <v>1</v>
      </c>
      <c r="B44" s="16" t="s">
        <v>132</v>
      </c>
      <c r="C44" s="16" t="str">
        <f>"罗倩雯"</f>
        <v>罗倩雯</v>
      </c>
      <c r="D44" s="16" t="str">
        <f>"2020021924"</f>
        <v>2020021924</v>
      </c>
      <c r="E44" s="17">
        <v>84.5</v>
      </c>
      <c r="F44" s="17"/>
      <c r="G44" s="17"/>
      <c r="H44" s="8"/>
    </row>
    <row r="45" ht="27.75" customHeight="1" spans="1:8">
      <c r="A45" s="5">
        <v>2</v>
      </c>
      <c r="B45" s="16" t="s">
        <v>132</v>
      </c>
      <c r="C45" s="16" t="str">
        <f>"丁伟伟"</f>
        <v>丁伟伟</v>
      </c>
      <c r="D45" s="16" t="str">
        <f>"2020021016"</f>
        <v>2020021016</v>
      </c>
      <c r="E45" s="17">
        <v>82.7</v>
      </c>
      <c r="F45" s="17"/>
      <c r="G45" s="17"/>
      <c r="H45" s="8"/>
    </row>
    <row r="46" ht="27.75" customHeight="1" spans="1:8">
      <c r="A46" s="5">
        <v>1</v>
      </c>
      <c r="B46" s="16" t="s">
        <v>133</v>
      </c>
      <c r="C46" s="16" t="str">
        <f>"葛小丛"</f>
        <v>葛小丛</v>
      </c>
      <c r="D46" s="16" t="str">
        <f>"2020021919"</f>
        <v>2020021919</v>
      </c>
      <c r="E46" s="17">
        <v>70.6</v>
      </c>
      <c r="F46" s="17"/>
      <c r="G46" s="17"/>
      <c r="H46" s="8"/>
    </row>
    <row r="47" ht="27.75" customHeight="1" spans="1:8">
      <c r="A47" s="5">
        <v>2</v>
      </c>
      <c r="B47" s="16" t="s">
        <v>133</v>
      </c>
      <c r="C47" s="16" t="str">
        <f>"李晓菲"</f>
        <v>李晓菲</v>
      </c>
      <c r="D47" s="16" t="str">
        <f>"2020021914"</f>
        <v>2020021914</v>
      </c>
      <c r="E47" s="17">
        <v>63.2</v>
      </c>
      <c r="F47" s="17"/>
      <c r="G47" s="17"/>
      <c r="H47" s="8"/>
    </row>
    <row r="48" ht="27.75" customHeight="1" spans="1:8">
      <c r="A48" s="5">
        <v>1</v>
      </c>
      <c r="B48" s="16" t="s">
        <v>134</v>
      </c>
      <c r="C48" s="16" t="str">
        <f>"孙艳秋"</f>
        <v>孙艳秋</v>
      </c>
      <c r="D48" s="18"/>
      <c r="E48" s="18"/>
      <c r="F48" s="18"/>
      <c r="G48" s="18"/>
      <c r="H48" s="15" t="s">
        <v>21</v>
      </c>
    </row>
    <row r="49" ht="27.75" customHeight="1" spans="1:8">
      <c r="A49" s="5">
        <v>2</v>
      </c>
      <c r="B49" s="16" t="s">
        <v>134</v>
      </c>
      <c r="C49" s="16" t="str">
        <f>"张劲东"</f>
        <v>张劲东</v>
      </c>
      <c r="D49" s="18"/>
      <c r="E49" s="18"/>
      <c r="F49" s="18"/>
      <c r="G49" s="18"/>
      <c r="H49" s="15" t="s">
        <v>21</v>
      </c>
    </row>
    <row r="50" ht="27.75" customHeight="1" spans="1:8">
      <c r="A50" s="5">
        <v>3</v>
      </c>
      <c r="B50" s="16" t="s">
        <v>134</v>
      </c>
      <c r="C50" s="16" t="str">
        <f>"赵致缘"</f>
        <v>赵致缘</v>
      </c>
      <c r="D50" s="18"/>
      <c r="E50" s="18"/>
      <c r="F50" s="18"/>
      <c r="G50" s="18"/>
      <c r="H50" s="15" t="s">
        <v>21</v>
      </c>
    </row>
    <row r="51" ht="27.75" customHeight="1" spans="1:8">
      <c r="A51" s="5">
        <v>4</v>
      </c>
      <c r="B51" s="16" t="s">
        <v>134</v>
      </c>
      <c r="C51" s="16" t="str">
        <f>"张梦云"</f>
        <v>张梦云</v>
      </c>
      <c r="D51" s="18"/>
      <c r="E51" s="18"/>
      <c r="F51" s="18"/>
      <c r="G51" s="18"/>
      <c r="H51" s="15" t="s">
        <v>21</v>
      </c>
    </row>
    <row r="52" ht="27.75" customHeight="1" spans="1:8">
      <c r="A52" s="5">
        <v>5</v>
      </c>
      <c r="B52" s="16" t="s">
        <v>134</v>
      </c>
      <c r="C52" s="16" t="str">
        <f>"杨天平"</f>
        <v>杨天平</v>
      </c>
      <c r="D52" s="18"/>
      <c r="E52" s="18"/>
      <c r="F52" s="18"/>
      <c r="G52" s="18"/>
      <c r="H52" s="15" t="s">
        <v>21</v>
      </c>
    </row>
    <row r="53" ht="27.75" customHeight="1" spans="1:8">
      <c r="A53" s="5">
        <v>6</v>
      </c>
      <c r="B53" s="16" t="s">
        <v>134</v>
      </c>
      <c r="C53" s="16" t="str">
        <f>"庄新茹"</f>
        <v>庄新茹</v>
      </c>
      <c r="D53" s="18"/>
      <c r="E53" s="18"/>
      <c r="F53" s="18"/>
      <c r="G53" s="18"/>
      <c r="H53" s="15" t="s">
        <v>21</v>
      </c>
    </row>
    <row r="54" ht="27.75" customHeight="1" spans="1:8">
      <c r="A54" s="5">
        <v>7</v>
      </c>
      <c r="B54" s="16" t="s">
        <v>134</v>
      </c>
      <c r="C54" s="16" t="str">
        <f>"汪兴"</f>
        <v>汪兴</v>
      </c>
      <c r="D54" s="18"/>
      <c r="E54" s="18"/>
      <c r="F54" s="18"/>
      <c r="G54" s="18"/>
      <c r="H54" s="15" t="s">
        <v>21</v>
      </c>
    </row>
    <row r="55" ht="27.75" customHeight="1" spans="1:8">
      <c r="A55" s="5">
        <v>8</v>
      </c>
      <c r="B55" s="16" t="s">
        <v>134</v>
      </c>
      <c r="C55" s="16" t="str">
        <f>"朱婷婷"</f>
        <v>朱婷婷</v>
      </c>
      <c r="D55" s="18"/>
      <c r="E55" s="18"/>
      <c r="F55" s="18"/>
      <c r="G55" s="18"/>
      <c r="H55" s="15" t="s">
        <v>21</v>
      </c>
    </row>
    <row r="56" ht="27.75" customHeight="1" spans="1:8">
      <c r="A56" s="5">
        <v>9</v>
      </c>
      <c r="B56" s="16" t="s">
        <v>134</v>
      </c>
      <c r="C56" s="16" t="str">
        <f>"宋玉"</f>
        <v>宋玉</v>
      </c>
      <c r="D56" s="18"/>
      <c r="E56" s="18"/>
      <c r="F56" s="18"/>
      <c r="G56" s="18"/>
      <c r="H56" s="15" t="s">
        <v>21</v>
      </c>
    </row>
    <row r="57" ht="27.75" customHeight="1" spans="1:8">
      <c r="A57" s="5">
        <v>10</v>
      </c>
      <c r="B57" s="16" t="s">
        <v>134</v>
      </c>
      <c r="C57" s="16" t="str">
        <f>"贾云婷"</f>
        <v>贾云婷</v>
      </c>
      <c r="D57" s="18"/>
      <c r="E57" s="18"/>
      <c r="F57" s="18"/>
      <c r="G57" s="18"/>
      <c r="H57" s="15" t="s">
        <v>21</v>
      </c>
    </row>
    <row r="58" ht="27.75" customHeight="1" spans="1:8">
      <c r="A58" s="5">
        <v>11</v>
      </c>
      <c r="B58" s="16" t="s">
        <v>134</v>
      </c>
      <c r="C58" s="16" t="str">
        <f>"程星"</f>
        <v>程星</v>
      </c>
      <c r="D58" s="18"/>
      <c r="E58" s="18"/>
      <c r="F58" s="18"/>
      <c r="G58" s="18"/>
      <c r="H58" s="15" t="s">
        <v>21</v>
      </c>
    </row>
    <row r="59" ht="27.75" customHeight="1" spans="1:8">
      <c r="A59" s="5">
        <v>12</v>
      </c>
      <c r="B59" s="16" t="s">
        <v>134</v>
      </c>
      <c r="C59" s="16" t="str">
        <f>"黄雨微"</f>
        <v>黄雨微</v>
      </c>
      <c r="D59" s="18"/>
      <c r="E59" s="18"/>
      <c r="F59" s="18"/>
      <c r="G59" s="18"/>
      <c r="H59" s="15" t="s">
        <v>21</v>
      </c>
    </row>
    <row r="60" ht="27.75" customHeight="1" spans="1:8">
      <c r="A60" s="5">
        <v>13</v>
      </c>
      <c r="B60" s="16" t="s">
        <v>134</v>
      </c>
      <c r="C60" s="16" t="str">
        <f>"沈珺"</f>
        <v>沈珺</v>
      </c>
      <c r="D60" s="18"/>
      <c r="E60" s="18"/>
      <c r="F60" s="18"/>
      <c r="G60" s="18"/>
      <c r="H60" s="15" t="s">
        <v>21</v>
      </c>
    </row>
    <row r="61" ht="27.75" customHeight="1" spans="1:8">
      <c r="A61" s="5">
        <v>14</v>
      </c>
      <c r="B61" s="16" t="s">
        <v>134</v>
      </c>
      <c r="C61" s="16" t="str">
        <f>"古明伟"</f>
        <v>古明伟</v>
      </c>
      <c r="D61" s="18"/>
      <c r="E61" s="18"/>
      <c r="F61" s="18"/>
      <c r="G61" s="18"/>
      <c r="H61" s="15" t="s">
        <v>21</v>
      </c>
    </row>
    <row r="62" ht="27.75" customHeight="1" spans="1:8">
      <c r="A62" s="5">
        <v>15</v>
      </c>
      <c r="B62" s="16" t="s">
        <v>134</v>
      </c>
      <c r="C62" s="16" t="str">
        <f>"张志坤"</f>
        <v>张志坤</v>
      </c>
      <c r="D62" s="18"/>
      <c r="E62" s="18"/>
      <c r="F62" s="18"/>
      <c r="G62" s="18"/>
      <c r="H62" s="15" t="s">
        <v>21</v>
      </c>
    </row>
    <row r="63" ht="27.75" customHeight="1" spans="1:8">
      <c r="A63" s="5">
        <v>16</v>
      </c>
      <c r="B63" s="16" t="s">
        <v>134</v>
      </c>
      <c r="C63" s="16" t="str">
        <f>"张小强"</f>
        <v>张小强</v>
      </c>
      <c r="D63" s="18"/>
      <c r="E63" s="18"/>
      <c r="F63" s="18"/>
      <c r="G63" s="18"/>
      <c r="H63" s="15" t="s">
        <v>21</v>
      </c>
    </row>
    <row r="64" ht="27.75" customHeight="1" spans="1:8">
      <c r="A64" s="5">
        <v>17</v>
      </c>
      <c r="B64" s="16" t="s">
        <v>134</v>
      </c>
      <c r="C64" s="16" t="str">
        <f>"孟博文"</f>
        <v>孟博文</v>
      </c>
      <c r="D64" s="18"/>
      <c r="E64" s="18"/>
      <c r="F64" s="18"/>
      <c r="G64" s="18"/>
      <c r="H64" s="15" t="s">
        <v>21</v>
      </c>
    </row>
    <row r="65" ht="27.75" customHeight="1" spans="1:8">
      <c r="A65" s="5">
        <v>18</v>
      </c>
      <c r="B65" s="16" t="s">
        <v>134</v>
      </c>
      <c r="C65" s="16" t="str">
        <f>"汪念秋"</f>
        <v>汪念秋</v>
      </c>
      <c r="D65" s="18"/>
      <c r="E65" s="18"/>
      <c r="F65" s="18"/>
      <c r="G65" s="18"/>
      <c r="H65" s="15" t="s">
        <v>21</v>
      </c>
    </row>
    <row r="66" ht="27.75" customHeight="1" spans="1:8">
      <c r="A66" s="5">
        <v>19</v>
      </c>
      <c r="B66" s="16" t="s">
        <v>134</v>
      </c>
      <c r="C66" s="16" t="str">
        <f>"倪萍"</f>
        <v>倪萍</v>
      </c>
      <c r="D66" s="18"/>
      <c r="E66" s="18"/>
      <c r="F66" s="18"/>
      <c r="G66" s="18"/>
      <c r="H66" s="15" t="s">
        <v>21</v>
      </c>
    </row>
    <row r="67" ht="27.75" customHeight="1" spans="1:8">
      <c r="A67" s="5">
        <v>1</v>
      </c>
      <c r="B67" s="16" t="s">
        <v>135</v>
      </c>
      <c r="C67" s="16" t="str">
        <f>"张超强"</f>
        <v>张超强</v>
      </c>
      <c r="D67" s="18"/>
      <c r="E67" s="18"/>
      <c r="F67" s="18"/>
      <c r="G67" s="18"/>
      <c r="H67" s="15" t="s">
        <v>21</v>
      </c>
    </row>
    <row r="68" ht="27.75" customHeight="1" spans="1:8">
      <c r="A68" s="5">
        <v>2</v>
      </c>
      <c r="B68" s="16" t="s">
        <v>135</v>
      </c>
      <c r="C68" s="16" t="str">
        <f>"张婧涵"</f>
        <v>张婧涵</v>
      </c>
      <c r="D68" s="18"/>
      <c r="E68" s="18"/>
      <c r="F68" s="18"/>
      <c r="G68" s="18"/>
      <c r="H68" s="15" t="s">
        <v>21</v>
      </c>
    </row>
    <row r="69" ht="27.75" customHeight="1" spans="1:8">
      <c r="A69" s="5">
        <v>3</v>
      </c>
      <c r="B69" s="16" t="s">
        <v>135</v>
      </c>
      <c r="C69" s="16" t="str">
        <f>"徐薇薇"</f>
        <v>徐薇薇</v>
      </c>
      <c r="D69" s="18"/>
      <c r="E69" s="18"/>
      <c r="F69" s="18"/>
      <c r="G69" s="18"/>
      <c r="H69" s="15" t="s">
        <v>21</v>
      </c>
    </row>
    <row r="70" ht="27.75" customHeight="1" spans="1:8">
      <c r="A70" s="5">
        <v>4</v>
      </c>
      <c r="B70" s="16" t="s">
        <v>135</v>
      </c>
      <c r="C70" s="16" t="str">
        <f>"娄悦"</f>
        <v>娄悦</v>
      </c>
      <c r="D70" s="18"/>
      <c r="E70" s="18"/>
      <c r="F70" s="18"/>
      <c r="G70" s="18"/>
      <c r="H70" s="15" t="s">
        <v>21</v>
      </c>
    </row>
    <row r="71" ht="27.75" customHeight="1" spans="1:8">
      <c r="A71" s="5">
        <v>5</v>
      </c>
      <c r="B71" s="16" t="s">
        <v>135</v>
      </c>
      <c r="C71" s="16" t="str">
        <f>"李静"</f>
        <v>李静</v>
      </c>
      <c r="D71" s="18"/>
      <c r="E71" s="18"/>
      <c r="F71" s="18"/>
      <c r="G71" s="18"/>
      <c r="H71" s="15" t="s">
        <v>21</v>
      </c>
    </row>
    <row r="72" ht="27.75" customHeight="1" spans="1:8">
      <c r="A72" s="5">
        <v>6</v>
      </c>
      <c r="B72" s="16" t="s">
        <v>135</v>
      </c>
      <c r="C72" s="16" t="str">
        <f>"徐绍侠"</f>
        <v>徐绍侠</v>
      </c>
      <c r="D72" s="18"/>
      <c r="E72" s="18"/>
      <c r="F72" s="18"/>
      <c r="G72" s="18"/>
      <c r="H72" s="15" t="s">
        <v>21</v>
      </c>
    </row>
    <row r="73" ht="27.75" customHeight="1" spans="1:8">
      <c r="A73" s="5">
        <v>7</v>
      </c>
      <c r="B73" s="16" t="s">
        <v>135</v>
      </c>
      <c r="C73" s="16" t="str">
        <f>"张朝坤"</f>
        <v>张朝坤</v>
      </c>
      <c r="D73" s="18"/>
      <c r="E73" s="18"/>
      <c r="F73" s="18"/>
      <c r="G73" s="18"/>
      <c r="H73" s="15" t="s">
        <v>21</v>
      </c>
    </row>
    <row r="74" ht="27.75" customHeight="1" spans="1:8">
      <c r="A74" s="5">
        <v>8</v>
      </c>
      <c r="B74" s="16" t="s">
        <v>135</v>
      </c>
      <c r="C74" s="16" t="str">
        <f>"程梦"</f>
        <v>程梦</v>
      </c>
      <c r="D74" s="18"/>
      <c r="E74" s="18"/>
      <c r="F74" s="18"/>
      <c r="G74" s="18"/>
      <c r="H74" s="15" t="s">
        <v>21</v>
      </c>
    </row>
    <row r="75" ht="27.75" customHeight="1" spans="1:8">
      <c r="A75" s="5">
        <v>1</v>
      </c>
      <c r="B75" s="16" t="s">
        <v>136</v>
      </c>
      <c r="C75" s="16" t="str">
        <f>"李倩"</f>
        <v>李倩</v>
      </c>
      <c r="D75" s="18"/>
      <c r="E75" s="18"/>
      <c r="F75" s="18"/>
      <c r="G75" s="18"/>
      <c r="H75" s="15" t="s">
        <v>21</v>
      </c>
    </row>
    <row r="76" ht="27.75" customHeight="1" spans="1:8">
      <c r="A76" s="5">
        <v>2</v>
      </c>
      <c r="B76" s="16" t="s">
        <v>136</v>
      </c>
      <c r="C76" s="16" t="str">
        <f>"何燕"</f>
        <v>何燕</v>
      </c>
      <c r="D76" s="18"/>
      <c r="E76" s="18"/>
      <c r="F76" s="18"/>
      <c r="G76" s="18"/>
      <c r="H76" s="15" t="s">
        <v>21</v>
      </c>
    </row>
    <row r="77" ht="27.75" customHeight="1" spans="1:8">
      <c r="A77" s="5">
        <v>3</v>
      </c>
      <c r="B77" s="16" t="s">
        <v>136</v>
      </c>
      <c r="C77" s="16" t="str">
        <f>"陈迪"</f>
        <v>陈迪</v>
      </c>
      <c r="D77" s="18"/>
      <c r="E77" s="18"/>
      <c r="F77" s="18"/>
      <c r="G77" s="18"/>
      <c r="H77" s="15" t="s">
        <v>21</v>
      </c>
    </row>
    <row r="78" ht="27.75" customHeight="1" spans="1:8">
      <c r="A78" s="5">
        <v>4</v>
      </c>
      <c r="B78" s="16" t="s">
        <v>136</v>
      </c>
      <c r="C78" s="16" t="str">
        <f>"张广钰"</f>
        <v>张广钰</v>
      </c>
      <c r="D78" s="18"/>
      <c r="E78" s="18"/>
      <c r="F78" s="18"/>
      <c r="G78" s="18"/>
      <c r="H78" s="15" t="s">
        <v>21</v>
      </c>
    </row>
    <row r="79" ht="27.75" customHeight="1" spans="1:8">
      <c r="A79" s="5">
        <v>5</v>
      </c>
      <c r="B79" s="16" t="s">
        <v>136</v>
      </c>
      <c r="C79" s="16" t="str">
        <f>"柳默涵"</f>
        <v>柳默涵</v>
      </c>
      <c r="D79" s="18"/>
      <c r="E79" s="18"/>
      <c r="F79" s="18"/>
      <c r="G79" s="18"/>
      <c r="H79" s="15" t="s">
        <v>21</v>
      </c>
    </row>
    <row r="80" ht="27.75" customHeight="1" spans="1:8">
      <c r="A80" s="5">
        <v>6</v>
      </c>
      <c r="B80" s="16" t="s">
        <v>136</v>
      </c>
      <c r="C80" s="16" t="str">
        <f>"蒋雷雷"</f>
        <v>蒋雷雷</v>
      </c>
      <c r="D80" s="18"/>
      <c r="E80" s="18"/>
      <c r="F80" s="18"/>
      <c r="G80" s="18"/>
      <c r="H80" s="15" t="s">
        <v>21</v>
      </c>
    </row>
    <row r="81" ht="27.75" customHeight="1" spans="1:8">
      <c r="A81" s="5">
        <v>7</v>
      </c>
      <c r="B81" s="16" t="s">
        <v>136</v>
      </c>
      <c r="C81" s="16" t="str">
        <f>"许果"</f>
        <v>许果</v>
      </c>
      <c r="D81" s="18"/>
      <c r="E81" s="18"/>
      <c r="F81" s="18"/>
      <c r="G81" s="18"/>
      <c r="H81" s="15" t="s">
        <v>21</v>
      </c>
    </row>
    <row r="82" ht="27.75" customHeight="1" spans="1:8">
      <c r="A82" s="5">
        <v>8</v>
      </c>
      <c r="B82" s="16" t="s">
        <v>136</v>
      </c>
      <c r="C82" s="16" t="str">
        <f>"赵丹丹"</f>
        <v>赵丹丹</v>
      </c>
      <c r="D82" s="18"/>
      <c r="E82" s="18"/>
      <c r="F82" s="18"/>
      <c r="G82" s="18"/>
      <c r="H82" s="15" t="s">
        <v>21</v>
      </c>
    </row>
    <row r="83" ht="27.75" customHeight="1" spans="1:8">
      <c r="A83" s="5">
        <v>9</v>
      </c>
      <c r="B83" s="16" t="s">
        <v>136</v>
      </c>
      <c r="C83" s="16" t="str">
        <f>"赵佳"</f>
        <v>赵佳</v>
      </c>
      <c r="D83" s="18"/>
      <c r="E83" s="18"/>
      <c r="F83" s="18"/>
      <c r="G83" s="18"/>
      <c r="H83" s="15" t="s">
        <v>21</v>
      </c>
    </row>
    <row r="84" ht="27.75" customHeight="1" spans="1:8">
      <c r="A84" s="5">
        <v>10</v>
      </c>
      <c r="B84" s="16" t="s">
        <v>136</v>
      </c>
      <c r="C84" s="16" t="str">
        <f>"侯卫婷"</f>
        <v>侯卫婷</v>
      </c>
      <c r="D84" s="18"/>
      <c r="E84" s="18"/>
      <c r="F84" s="18"/>
      <c r="G84" s="18"/>
      <c r="H84" s="15" t="s">
        <v>21</v>
      </c>
    </row>
    <row r="85" ht="27.75" customHeight="1" spans="1:8">
      <c r="A85" s="5">
        <v>11</v>
      </c>
      <c r="B85" s="16" t="s">
        <v>136</v>
      </c>
      <c r="C85" s="16" t="str">
        <f>"申博"</f>
        <v>申博</v>
      </c>
      <c r="D85" s="18"/>
      <c r="E85" s="18"/>
      <c r="F85" s="18"/>
      <c r="G85" s="18"/>
      <c r="H85" s="15" t="s">
        <v>21</v>
      </c>
    </row>
    <row r="86" ht="27.75" customHeight="1" spans="1:8">
      <c r="A86" s="5">
        <v>12</v>
      </c>
      <c r="B86" s="16" t="s">
        <v>136</v>
      </c>
      <c r="C86" s="16" t="str">
        <f>"蒋玲"</f>
        <v>蒋玲</v>
      </c>
      <c r="D86" s="18"/>
      <c r="E86" s="18"/>
      <c r="F86" s="18"/>
      <c r="G86" s="18"/>
      <c r="H86" s="15" t="s">
        <v>21</v>
      </c>
    </row>
    <row r="87" ht="27.75" customHeight="1" spans="1:8">
      <c r="A87" s="5">
        <v>1</v>
      </c>
      <c r="B87" s="16" t="s">
        <v>137</v>
      </c>
      <c r="C87" s="16" t="str">
        <f>"胡世隆"</f>
        <v>胡世隆</v>
      </c>
      <c r="D87" s="18"/>
      <c r="E87" s="18"/>
      <c r="F87" s="18"/>
      <c r="G87" s="18"/>
      <c r="H87" s="15" t="s">
        <v>21</v>
      </c>
    </row>
    <row r="88" ht="27.75" customHeight="1" spans="1:8">
      <c r="A88" s="5">
        <v>2</v>
      </c>
      <c r="B88" s="16" t="s">
        <v>137</v>
      </c>
      <c r="C88" s="16" t="str">
        <f>"贾胜利"</f>
        <v>贾胜利</v>
      </c>
      <c r="D88" s="18"/>
      <c r="E88" s="18"/>
      <c r="F88" s="18"/>
      <c r="G88" s="18"/>
      <c r="H88" s="15" t="s">
        <v>21</v>
      </c>
    </row>
    <row r="89" ht="27.75" customHeight="1" spans="1:8">
      <c r="A89" s="5">
        <v>1</v>
      </c>
      <c r="B89" s="16" t="s">
        <v>138</v>
      </c>
      <c r="C89" s="16" t="str">
        <f>"江慧敏"</f>
        <v>江慧敏</v>
      </c>
      <c r="D89" s="18"/>
      <c r="E89" s="18"/>
      <c r="F89" s="18"/>
      <c r="G89" s="18"/>
      <c r="H89" s="15" t="s">
        <v>21</v>
      </c>
    </row>
    <row r="90" ht="27.75" customHeight="1" spans="1:8">
      <c r="A90" s="5">
        <v>1</v>
      </c>
      <c r="B90" s="16" t="s">
        <v>139</v>
      </c>
      <c r="C90" s="16" t="str">
        <f>"李静"</f>
        <v>李静</v>
      </c>
      <c r="D90" s="18"/>
      <c r="E90" s="18"/>
      <c r="F90" s="18"/>
      <c r="G90" s="18"/>
      <c r="H90" s="15" t="s">
        <v>111</v>
      </c>
    </row>
    <row r="91" ht="27.75" customHeight="1" spans="1:8">
      <c r="A91" s="5">
        <v>2</v>
      </c>
      <c r="B91" s="16" t="s">
        <v>139</v>
      </c>
      <c r="C91" s="16" t="str">
        <f>"王瑞泉"</f>
        <v>王瑞泉</v>
      </c>
      <c r="D91" s="18"/>
      <c r="E91" s="18"/>
      <c r="F91" s="18"/>
      <c r="G91" s="18"/>
      <c r="H91" s="15" t="s">
        <v>111</v>
      </c>
    </row>
    <row r="92" ht="27.75" customHeight="1" spans="1:8">
      <c r="A92" s="5">
        <v>3</v>
      </c>
      <c r="B92" s="16" t="s">
        <v>139</v>
      </c>
      <c r="C92" s="16" t="str">
        <f>"李淑敏"</f>
        <v>李淑敏</v>
      </c>
      <c r="D92" s="18"/>
      <c r="E92" s="18"/>
      <c r="F92" s="18"/>
      <c r="G92" s="18"/>
      <c r="H92" s="15" t="s">
        <v>111</v>
      </c>
    </row>
    <row r="93" ht="27.75" customHeight="1" spans="1:8">
      <c r="A93" s="5">
        <v>4</v>
      </c>
      <c r="B93" s="16" t="s">
        <v>139</v>
      </c>
      <c r="C93" s="16" t="str">
        <f>"赵燕"</f>
        <v>赵燕</v>
      </c>
      <c r="D93" s="18"/>
      <c r="E93" s="18"/>
      <c r="F93" s="18"/>
      <c r="G93" s="18"/>
      <c r="H93" s="15" t="s">
        <v>111</v>
      </c>
    </row>
    <row r="94" ht="27.75" customHeight="1" spans="1:8">
      <c r="A94" s="5">
        <v>5</v>
      </c>
      <c r="B94" s="16" t="s">
        <v>139</v>
      </c>
      <c r="C94" s="16" t="str">
        <f>"杜静"</f>
        <v>杜静</v>
      </c>
      <c r="D94" s="18"/>
      <c r="E94" s="18"/>
      <c r="F94" s="18"/>
      <c r="G94" s="18"/>
      <c r="H94" s="15" t="s">
        <v>111</v>
      </c>
    </row>
    <row r="95" ht="27.75" customHeight="1" spans="1:8">
      <c r="A95" s="5">
        <v>6</v>
      </c>
      <c r="B95" s="16" t="s">
        <v>139</v>
      </c>
      <c r="C95" s="16" t="str">
        <f>"阮路"</f>
        <v>阮路</v>
      </c>
      <c r="D95" s="18"/>
      <c r="E95" s="18"/>
      <c r="F95" s="18"/>
      <c r="G95" s="18"/>
      <c r="H95" s="15" t="s">
        <v>111</v>
      </c>
    </row>
    <row r="96" ht="27.75" customHeight="1" spans="1:8">
      <c r="A96" s="5">
        <v>7</v>
      </c>
      <c r="B96" s="16" t="s">
        <v>139</v>
      </c>
      <c r="C96" s="16" t="str">
        <f>"雷侠"</f>
        <v>雷侠</v>
      </c>
      <c r="D96" s="18"/>
      <c r="E96" s="18"/>
      <c r="F96" s="18"/>
      <c r="G96" s="18"/>
      <c r="H96" s="15" t="s">
        <v>111</v>
      </c>
    </row>
    <row r="97" ht="27.75" customHeight="1" spans="1:8">
      <c r="A97" s="5">
        <v>8</v>
      </c>
      <c r="B97" s="16" t="s">
        <v>139</v>
      </c>
      <c r="C97" s="16" t="str">
        <f>"于瑞"</f>
        <v>于瑞</v>
      </c>
      <c r="D97" s="18"/>
      <c r="E97" s="18"/>
      <c r="F97" s="18"/>
      <c r="G97" s="18"/>
      <c r="H97" s="15" t="s">
        <v>111</v>
      </c>
    </row>
    <row r="98" ht="27.75" customHeight="1" spans="1:8">
      <c r="A98" s="5">
        <v>9</v>
      </c>
      <c r="B98" s="16" t="s">
        <v>139</v>
      </c>
      <c r="C98" s="16" t="str">
        <f>"秦利"</f>
        <v>秦利</v>
      </c>
      <c r="D98" s="18"/>
      <c r="E98" s="18"/>
      <c r="F98" s="18"/>
      <c r="G98" s="18"/>
      <c r="H98" s="15" t="s">
        <v>111</v>
      </c>
    </row>
    <row r="99" ht="27.75" customHeight="1" spans="1:8">
      <c r="A99" s="5">
        <v>10</v>
      </c>
      <c r="B99" s="16" t="s">
        <v>139</v>
      </c>
      <c r="C99" s="16" t="str">
        <f>"李晓军"</f>
        <v>李晓军</v>
      </c>
      <c r="D99" s="18"/>
      <c r="E99" s="18"/>
      <c r="F99" s="18"/>
      <c r="G99" s="18"/>
      <c r="H99" s="15" t="s">
        <v>111</v>
      </c>
    </row>
    <row r="100" ht="27.75" customHeight="1" spans="1:8">
      <c r="A100" s="5">
        <v>11</v>
      </c>
      <c r="B100" s="16" t="s">
        <v>139</v>
      </c>
      <c r="C100" s="16" t="str">
        <f>"邵毛言"</f>
        <v>邵毛言</v>
      </c>
      <c r="D100" s="18"/>
      <c r="E100" s="18"/>
      <c r="F100" s="18"/>
      <c r="G100" s="18"/>
      <c r="H100" s="15" t="s">
        <v>111</v>
      </c>
    </row>
    <row r="101" ht="27.75" customHeight="1" spans="1:8">
      <c r="A101" s="5">
        <v>12</v>
      </c>
      <c r="B101" s="16" t="s">
        <v>139</v>
      </c>
      <c r="C101" s="16" t="str">
        <f>"张成成"</f>
        <v>张成成</v>
      </c>
      <c r="D101" s="18"/>
      <c r="E101" s="18"/>
      <c r="F101" s="18"/>
      <c r="G101" s="18"/>
      <c r="H101" s="15" t="s">
        <v>111</v>
      </c>
    </row>
    <row r="102" ht="27.75" customHeight="1" spans="1:8">
      <c r="A102" s="5">
        <v>13</v>
      </c>
      <c r="B102" s="16" t="s">
        <v>139</v>
      </c>
      <c r="C102" s="16" t="str">
        <f>"刘俊华"</f>
        <v>刘俊华</v>
      </c>
      <c r="D102" s="18"/>
      <c r="E102" s="18"/>
      <c r="F102" s="18"/>
      <c r="G102" s="18"/>
      <c r="H102" s="15" t="s">
        <v>111</v>
      </c>
    </row>
    <row r="103" ht="27.75" customHeight="1" spans="1:8">
      <c r="A103" s="5">
        <v>14</v>
      </c>
      <c r="B103" s="16" t="s">
        <v>139</v>
      </c>
      <c r="C103" s="16" t="str">
        <f>"李婧"</f>
        <v>李婧</v>
      </c>
      <c r="D103" s="18"/>
      <c r="E103" s="18"/>
      <c r="F103" s="18"/>
      <c r="G103" s="18"/>
      <c r="H103" s="15" t="s">
        <v>111</v>
      </c>
    </row>
    <row r="104" ht="27.75" customHeight="1" spans="1:8">
      <c r="A104" s="5">
        <v>15</v>
      </c>
      <c r="B104" s="16" t="s">
        <v>139</v>
      </c>
      <c r="C104" s="16" t="str">
        <f>"毛玉静"</f>
        <v>毛玉静</v>
      </c>
      <c r="D104" s="18"/>
      <c r="E104" s="18"/>
      <c r="F104" s="18"/>
      <c r="G104" s="18"/>
      <c r="H104" s="15" t="s">
        <v>111</v>
      </c>
    </row>
    <row r="105" ht="27.75" customHeight="1" spans="1:8">
      <c r="A105" s="5">
        <v>16</v>
      </c>
      <c r="B105" s="16" t="s">
        <v>139</v>
      </c>
      <c r="C105" s="16" t="str">
        <f>"王蓓"</f>
        <v>王蓓</v>
      </c>
      <c r="D105" s="18"/>
      <c r="E105" s="18"/>
      <c r="F105" s="18"/>
      <c r="G105" s="18"/>
      <c r="H105" s="15" t="s">
        <v>111</v>
      </c>
    </row>
    <row r="106" ht="27.75" customHeight="1" spans="1:8">
      <c r="A106" s="5">
        <v>17</v>
      </c>
      <c r="B106" s="16" t="s">
        <v>139</v>
      </c>
      <c r="C106" s="16" t="str">
        <f>"刘婷"</f>
        <v>刘婷</v>
      </c>
      <c r="D106" s="18"/>
      <c r="E106" s="18"/>
      <c r="F106" s="18"/>
      <c r="G106" s="18"/>
      <c r="H106" s="15" t="s">
        <v>111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K22" sqref="K22"/>
    </sheetView>
  </sheetViews>
  <sheetFormatPr defaultColWidth="12.2545454545455" defaultRowHeight="14" outlineLevelCol="5"/>
  <cols>
    <col min="1" max="1" width="12.2545454545455" style="4"/>
    <col min="2" max="2" width="24.2545454545455" style="4" customWidth="1"/>
    <col min="3" max="3" width="13.6272727272727" style="4" customWidth="1"/>
    <col min="4" max="4" width="15.1272727272727" style="4" customWidth="1"/>
    <col min="5" max="5" width="12.2545454545455" style="4"/>
    <col min="6" max="6" width="23.8727272727273" style="4" customWidth="1"/>
    <col min="7" max="16384" width="12.2545454545455" style="4"/>
  </cols>
  <sheetData>
    <row r="1" ht="32.25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7</v>
      </c>
    </row>
    <row r="2" s="1" customFormat="1" ht="32.25" customHeight="1" spans="1:6">
      <c r="A2" s="8">
        <v>1</v>
      </c>
      <c r="B2" s="9" t="s">
        <v>140</v>
      </c>
      <c r="C2" s="9" t="str">
        <f>"刘薇"</f>
        <v>刘薇</v>
      </c>
      <c r="D2" s="9" t="str">
        <f>"2020022927"</f>
        <v>2020022927</v>
      </c>
      <c r="E2" s="10">
        <v>72.9</v>
      </c>
      <c r="F2" s="9"/>
    </row>
    <row r="3" s="1" customFormat="1" ht="32.25" customHeight="1" spans="1:6">
      <c r="A3" s="8">
        <v>1</v>
      </c>
      <c r="B3" s="9" t="s">
        <v>141</v>
      </c>
      <c r="C3" s="9" t="str">
        <f>"吴强"</f>
        <v>吴强</v>
      </c>
      <c r="D3" s="9" t="str">
        <f>"2020022809"</f>
        <v>2020022809</v>
      </c>
      <c r="E3" s="10">
        <v>61.6</v>
      </c>
      <c r="F3" s="9"/>
    </row>
    <row r="4" s="1" customFormat="1" ht="32.25" customHeight="1" spans="1:6">
      <c r="A4" s="8">
        <v>1</v>
      </c>
      <c r="B4" s="9" t="s">
        <v>142</v>
      </c>
      <c r="C4" s="9" t="str">
        <f>"韩高群"</f>
        <v>韩高群</v>
      </c>
      <c r="D4" s="9" t="str">
        <f>"2020023212"</f>
        <v>2020023212</v>
      </c>
      <c r="E4" s="10">
        <v>66.4</v>
      </c>
      <c r="F4" s="9"/>
    </row>
    <row r="5" s="1" customFormat="1" ht="32.25" customHeight="1" spans="1:6">
      <c r="A5" s="8">
        <v>2</v>
      </c>
      <c r="B5" s="9" t="s">
        <v>142</v>
      </c>
      <c r="C5" s="9" t="str">
        <f>"侯睿"</f>
        <v>侯睿</v>
      </c>
      <c r="D5" s="9" t="str">
        <f>"2020023210"</f>
        <v>2020023210</v>
      </c>
      <c r="E5" s="10">
        <v>59.4</v>
      </c>
      <c r="F5" s="9"/>
    </row>
    <row r="6" s="1" customFormat="1" ht="32.25" customHeight="1" spans="1:6">
      <c r="A6" s="8">
        <v>1</v>
      </c>
      <c r="B6" s="9" t="s">
        <v>143</v>
      </c>
      <c r="C6" s="9" t="str">
        <f>"杨琪"</f>
        <v>杨琪</v>
      </c>
      <c r="D6" s="9" t="str">
        <f>"2020020423"</f>
        <v>2020020423</v>
      </c>
      <c r="E6" s="10">
        <v>88.8</v>
      </c>
      <c r="F6" s="9"/>
    </row>
    <row r="7" s="1" customFormat="1" ht="32.25" customHeight="1" spans="1:6">
      <c r="A7" s="8">
        <v>2</v>
      </c>
      <c r="B7" s="9" t="s">
        <v>143</v>
      </c>
      <c r="C7" s="9" t="str">
        <f>"舒姗"</f>
        <v>舒姗</v>
      </c>
      <c r="D7" s="9" t="str">
        <f>"2020020422"</f>
        <v>2020020422</v>
      </c>
      <c r="E7" s="10">
        <v>85.8</v>
      </c>
      <c r="F7" s="9"/>
    </row>
    <row r="8" s="1" customFormat="1" ht="32.25" customHeight="1" spans="1:6">
      <c r="A8" s="8">
        <v>1</v>
      </c>
      <c r="B8" s="9" t="s">
        <v>144</v>
      </c>
      <c r="C8" s="9" t="str">
        <f>"阮圣玉"</f>
        <v>阮圣玉</v>
      </c>
      <c r="D8" s="9" t="str">
        <f>"2020023128"</f>
        <v>2020023128</v>
      </c>
      <c r="E8" s="10">
        <v>75.1</v>
      </c>
      <c r="F8" s="9"/>
    </row>
    <row r="9" s="1" customFormat="1" ht="32.25" customHeight="1" spans="1:6">
      <c r="A9" s="8">
        <v>2</v>
      </c>
      <c r="B9" s="9" t="s">
        <v>144</v>
      </c>
      <c r="C9" s="9" t="str">
        <f>"刘朔龙"</f>
        <v>刘朔龙</v>
      </c>
      <c r="D9" s="9" t="str">
        <f>"2020023124"</f>
        <v>2020023124</v>
      </c>
      <c r="E9" s="10">
        <v>69.7</v>
      </c>
      <c r="F9" s="9"/>
    </row>
    <row r="10" s="1" customFormat="1" ht="32.25" customHeight="1" spans="1:6">
      <c r="A10" s="8">
        <v>1</v>
      </c>
      <c r="B10" s="9" t="s">
        <v>145</v>
      </c>
      <c r="C10" s="9" t="str">
        <f>"杨晶"</f>
        <v>杨晶</v>
      </c>
      <c r="D10" s="9" t="str">
        <f>"2020021413"</f>
        <v>2020021413</v>
      </c>
      <c r="E10" s="10">
        <v>59</v>
      </c>
      <c r="F10" s="9"/>
    </row>
    <row r="11" s="1" customFormat="1" ht="32.25" customHeight="1" spans="1:6">
      <c r="A11" s="8">
        <v>1</v>
      </c>
      <c r="B11" s="9" t="s">
        <v>146</v>
      </c>
      <c r="C11" s="9" t="str">
        <f>"闫欢欢"</f>
        <v>闫欢欢</v>
      </c>
      <c r="D11" s="9" t="str">
        <f>"2020021421"</f>
        <v>2020021421</v>
      </c>
      <c r="E11" s="10">
        <v>55.2</v>
      </c>
      <c r="F11" s="9"/>
    </row>
    <row r="12" s="1" customFormat="1" ht="32.25" customHeight="1" spans="1:6">
      <c r="A12" s="8">
        <v>1</v>
      </c>
      <c r="B12" s="9" t="s">
        <v>147</v>
      </c>
      <c r="C12" s="9" t="str">
        <f>"赵永瑞"</f>
        <v>赵永瑞</v>
      </c>
      <c r="D12" s="9" t="str">
        <f>"2020020113"</f>
        <v>2020020113</v>
      </c>
      <c r="E12" s="10">
        <v>65.4</v>
      </c>
      <c r="F12" s="9"/>
    </row>
    <row r="13" s="1" customFormat="1" ht="32.25" customHeight="1" spans="1:6">
      <c r="A13" s="8">
        <v>1</v>
      </c>
      <c r="B13" s="9" t="s">
        <v>148</v>
      </c>
      <c r="C13" s="9" t="str">
        <f>"田莉莉"</f>
        <v>田莉莉</v>
      </c>
      <c r="D13" s="9" t="str">
        <f>"2020022015"</f>
        <v>2020022015</v>
      </c>
      <c r="E13" s="10">
        <v>73.8</v>
      </c>
      <c r="F13" s="9"/>
    </row>
    <row r="14" s="1" customFormat="1" ht="32.25" customHeight="1" spans="1:6">
      <c r="A14" s="8">
        <v>2</v>
      </c>
      <c r="B14" s="9" t="s">
        <v>148</v>
      </c>
      <c r="C14" s="9" t="str">
        <f>"董淑文"</f>
        <v>董淑文</v>
      </c>
      <c r="D14" s="9" t="str">
        <f>"2020022006"</f>
        <v>2020022006</v>
      </c>
      <c r="E14" s="10">
        <v>64.6</v>
      </c>
      <c r="F14" s="9"/>
    </row>
    <row r="15" s="1" customFormat="1" ht="32.25" customHeight="1" spans="1:6">
      <c r="A15" s="8">
        <v>1</v>
      </c>
      <c r="B15" s="9" t="s">
        <v>149</v>
      </c>
      <c r="C15" s="9" t="str">
        <f>"吴晓静"</f>
        <v>吴晓静</v>
      </c>
      <c r="D15" s="9" t="str">
        <f>"2020021427"</f>
        <v>2020021427</v>
      </c>
      <c r="E15" s="10">
        <v>71.6</v>
      </c>
      <c r="F15" s="9"/>
    </row>
    <row r="16" s="1" customFormat="1" ht="32.25" customHeight="1" spans="1:6">
      <c r="A16" s="8">
        <v>2</v>
      </c>
      <c r="B16" s="9" t="s">
        <v>149</v>
      </c>
      <c r="C16" s="9" t="str">
        <f>"李文俊"</f>
        <v>李文俊</v>
      </c>
      <c r="D16" s="9" t="str">
        <f>"2020021424"</f>
        <v>2020021424</v>
      </c>
      <c r="E16" s="10">
        <v>64</v>
      </c>
      <c r="F16" s="9"/>
    </row>
    <row r="17" s="1" customFormat="1" ht="32.25" customHeight="1" spans="1:6">
      <c r="A17" s="8">
        <v>1</v>
      </c>
      <c r="B17" s="9" t="s">
        <v>150</v>
      </c>
      <c r="C17" s="9" t="str">
        <f>"尹天娇"</f>
        <v>尹天娇</v>
      </c>
      <c r="D17" s="9" t="str">
        <f>"2020022810"</f>
        <v>2020022810</v>
      </c>
      <c r="E17" s="10">
        <v>55.2</v>
      </c>
      <c r="F17" s="9"/>
    </row>
    <row r="18" s="1" customFormat="1" ht="32.25" customHeight="1" spans="1:6">
      <c r="A18" s="8">
        <v>1</v>
      </c>
      <c r="B18" s="9" t="s">
        <v>151</v>
      </c>
      <c r="C18" s="9" t="str">
        <f>"陈倩倩"</f>
        <v>陈倩倩</v>
      </c>
      <c r="D18" s="9" t="str">
        <f>"2020021906"</f>
        <v>2020021906</v>
      </c>
      <c r="E18" s="10">
        <v>66.6</v>
      </c>
      <c r="F18" s="9"/>
    </row>
    <row r="19" s="1" customFormat="1" ht="32.25" customHeight="1" spans="1:6">
      <c r="A19" s="8">
        <v>2</v>
      </c>
      <c r="B19" s="9" t="s">
        <v>151</v>
      </c>
      <c r="C19" s="9" t="str">
        <f>"周攀峰"</f>
        <v>周攀峰</v>
      </c>
      <c r="D19" s="9" t="str">
        <f>"2020021903"</f>
        <v>2020021903</v>
      </c>
      <c r="E19" s="10">
        <v>60.4</v>
      </c>
      <c r="F19" s="9"/>
    </row>
    <row r="20" s="1" customFormat="1" ht="32.25" customHeight="1" spans="1:6">
      <c r="A20" s="8">
        <v>1</v>
      </c>
      <c r="B20" s="9" t="s">
        <v>152</v>
      </c>
      <c r="C20" s="9" t="str">
        <f>"闫宇晴"</f>
        <v>闫宇晴</v>
      </c>
      <c r="D20" s="9" t="str">
        <f>"2020022825"</f>
        <v>2020022825</v>
      </c>
      <c r="E20" s="10">
        <v>65.2</v>
      </c>
      <c r="F20" s="9"/>
    </row>
    <row r="21" s="1" customFormat="1" ht="32.25" customHeight="1" spans="1:6">
      <c r="A21" s="8">
        <v>2</v>
      </c>
      <c r="B21" s="9" t="s">
        <v>152</v>
      </c>
      <c r="C21" s="9" t="str">
        <f>"周兰兰"</f>
        <v>周兰兰</v>
      </c>
      <c r="D21" s="9" t="str">
        <f>"2020022821"</f>
        <v>2020022821</v>
      </c>
      <c r="E21" s="10">
        <v>56.2</v>
      </c>
      <c r="F21" s="9"/>
    </row>
    <row r="22" s="1" customFormat="1" ht="32.25" customHeight="1" spans="1:6">
      <c r="A22" s="8">
        <v>3</v>
      </c>
      <c r="B22" s="9" t="s">
        <v>152</v>
      </c>
      <c r="C22" s="9" t="str">
        <f>"李跃"</f>
        <v>李跃</v>
      </c>
      <c r="D22" s="9" t="str">
        <f>"2020022823"</f>
        <v>2020022823</v>
      </c>
      <c r="E22" s="10">
        <v>56.2</v>
      </c>
      <c r="F22" s="9"/>
    </row>
    <row r="23" s="2" customFormat="1" ht="32.25" customHeight="1" spans="1:6">
      <c r="A23" s="11">
        <v>1</v>
      </c>
      <c r="B23" s="12" t="s">
        <v>153</v>
      </c>
      <c r="C23" s="12" t="s">
        <v>154</v>
      </c>
      <c r="D23" s="13"/>
      <c r="E23" s="14"/>
      <c r="F23" s="6" t="s">
        <v>21</v>
      </c>
    </row>
    <row r="24" s="2" customFormat="1" ht="32.25" customHeight="1" spans="1:6">
      <c r="A24" s="11">
        <v>2</v>
      </c>
      <c r="B24" s="12" t="s">
        <v>153</v>
      </c>
      <c r="C24" s="12" t="s">
        <v>155</v>
      </c>
      <c r="D24" s="13"/>
      <c r="E24" s="14"/>
      <c r="F24" s="6" t="s">
        <v>21</v>
      </c>
    </row>
    <row r="25" s="2" customFormat="1" ht="32.25" customHeight="1" spans="1:6">
      <c r="A25" s="11">
        <v>3</v>
      </c>
      <c r="B25" s="12" t="s">
        <v>153</v>
      </c>
      <c r="C25" s="12" t="s">
        <v>156</v>
      </c>
      <c r="D25" s="13"/>
      <c r="E25" s="14"/>
      <c r="F25" s="6" t="s">
        <v>21</v>
      </c>
    </row>
    <row r="26" s="2" customFormat="1" ht="32.25" customHeight="1" spans="1:6">
      <c r="A26" s="11">
        <v>4</v>
      </c>
      <c r="B26" s="12" t="s">
        <v>153</v>
      </c>
      <c r="C26" s="12" t="s">
        <v>157</v>
      </c>
      <c r="D26" s="13"/>
      <c r="E26" s="14"/>
      <c r="F26" s="6" t="s">
        <v>21</v>
      </c>
    </row>
    <row r="27" s="2" customFormat="1" ht="32.25" customHeight="1" spans="1:6">
      <c r="A27" s="11">
        <v>5</v>
      </c>
      <c r="B27" s="12" t="s">
        <v>153</v>
      </c>
      <c r="C27" s="12" t="s">
        <v>158</v>
      </c>
      <c r="D27" s="13"/>
      <c r="E27" s="14"/>
      <c r="F27" s="6" t="s">
        <v>21</v>
      </c>
    </row>
    <row r="28" s="2" customFormat="1" ht="32.25" customHeight="1" spans="1:6">
      <c r="A28" s="11">
        <v>6</v>
      </c>
      <c r="B28" s="12" t="s">
        <v>153</v>
      </c>
      <c r="C28" s="12" t="s">
        <v>159</v>
      </c>
      <c r="D28" s="13"/>
      <c r="E28" s="14"/>
      <c r="F28" s="6" t="s">
        <v>21</v>
      </c>
    </row>
    <row r="29" s="2" customFormat="1" ht="32.25" customHeight="1" spans="1:6">
      <c r="A29" s="11">
        <v>1</v>
      </c>
      <c r="B29" s="12" t="s">
        <v>160</v>
      </c>
      <c r="C29" s="12" t="str">
        <f>"陈侠"</f>
        <v>陈侠</v>
      </c>
      <c r="D29" s="13"/>
      <c r="E29" s="14"/>
      <c r="F29" s="7" t="s">
        <v>111</v>
      </c>
    </row>
    <row r="30" s="2" customFormat="1" ht="32.25" customHeight="1" spans="1:6">
      <c r="A30" s="11">
        <v>1</v>
      </c>
      <c r="B30" s="12" t="s">
        <v>161</v>
      </c>
      <c r="C30" s="12" t="str">
        <f>"谢东方"</f>
        <v>谢东方</v>
      </c>
      <c r="D30" s="13"/>
      <c r="E30" s="14"/>
      <c r="F30" s="7" t="s">
        <v>111</v>
      </c>
    </row>
    <row r="31" s="3" customFormat="1" ht="15"/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淮北市人民医院</vt:lpstr>
      <vt:lpstr>淮北市中医医院</vt:lpstr>
      <vt:lpstr>淮北市妇幼保健院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2006-09-13T11:21:00Z</dcterms:created>
  <cp:lastPrinted>2020-07-18T02:37:00Z</cp:lastPrinted>
  <dcterms:modified xsi:type="dcterms:W3CDTF">2020-07-19T02:36:19Z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